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ciene.gama\Desktop\"/>
    </mc:Choice>
  </mc:AlternateContent>
  <bookViews>
    <workbookView xWindow="0" yWindow="0" windowWidth="28800" windowHeight="12000" activeTab="1"/>
  </bookViews>
  <sheets>
    <sheet name="Bombeiro Civil Líder de Brigada" sheetId="1" r:id="rId1"/>
    <sheet name="Bombeiro Civil_Brigadista Diur " sheetId="22" r:id="rId2"/>
    <sheet name="Bombeiro Civil Brigadit Noturno" sheetId="23" r:id="rId3"/>
    <sheet name="Uniformes" sheetId="25" r:id="rId4"/>
    <sheet name="Materiais  por Demanda " sheetId="33" r:id="rId5"/>
    <sheet name="Materiais por Comodato " sheetId="35" r:id="rId6"/>
    <sheet name="Relógio de Ponto" sheetId="34" r:id="rId7"/>
    <sheet name="RESUMO GERAL" sheetId="28" r:id="rId8"/>
    <sheet name="Pesquisa Órgãos Públicos" sheetId="32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33" l="1"/>
  <c r="U12" i="25"/>
  <c r="E39" i="28" l="1"/>
  <c r="G16" i="28"/>
  <c r="E16" i="28"/>
  <c r="G37" i="28"/>
  <c r="P7" i="34" l="1"/>
  <c r="H18" i="28"/>
  <c r="C15" i="28"/>
  <c r="E15" i="28" s="1"/>
  <c r="V12" i="25" l="1"/>
  <c r="U13" i="25"/>
  <c r="V13" i="25" s="1"/>
  <c r="F100" i="23"/>
  <c r="F99" i="22"/>
  <c r="G77" i="23"/>
  <c r="F99" i="1"/>
  <c r="G76" i="22"/>
  <c r="G76" i="1"/>
  <c r="C17" i="28" l="1"/>
  <c r="E17" i="28" s="1"/>
  <c r="C16" i="28"/>
  <c r="G15" i="28"/>
  <c r="U18" i="25" l="1"/>
  <c r="U20" i="25" l="1"/>
  <c r="U19" i="25"/>
  <c r="U17" i="25"/>
  <c r="U16" i="25"/>
  <c r="U15" i="25"/>
  <c r="U14" i="25"/>
  <c r="S43" i="33"/>
  <c r="S42" i="33"/>
  <c r="S41" i="33"/>
  <c r="S40" i="33"/>
  <c r="S39" i="33"/>
  <c r="S38" i="33"/>
  <c r="S36" i="33"/>
  <c r="S35" i="33"/>
  <c r="S34" i="33"/>
  <c r="S33" i="33"/>
  <c r="S32" i="33"/>
  <c r="S31" i="33"/>
  <c r="S30" i="33"/>
  <c r="S29" i="33"/>
  <c r="S28" i="33"/>
  <c r="S26" i="33"/>
  <c r="S25" i="33"/>
  <c r="S24" i="33"/>
  <c r="S23" i="33"/>
  <c r="S22" i="33"/>
  <c r="S21" i="33"/>
  <c r="S20" i="33"/>
  <c r="S19" i="33"/>
  <c r="S18" i="33"/>
  <c r="S17" i="33"/>
  <c r="S16" i="33"/>
  <c r="S15" i="33"/>
  <c r="S14" i="33"/>
  <c r="S13" i="33"/>
  <c r="S12" i="33"/>
  <c r="S11" i="33"/>
  <c r="S10" i="33"/>
  <c r="S9" i="33"/>
  <c r="S8" i="33"/>
  <c r="S6" i="33"/>
  <c r="S5" i="33"/>
  <c r="R13" i="25"/>
  <c r="R14" i="25"/>
  <c r="R15" i="25"/>
  <c r="R16" i="25"/>
  <c r="R17" i="25"/>
  <c r="R18" i="25"/>
  <c r="R19" i="25"/>
  <c r="R20" i="25"/>
  <c r="R12" i="25"/>
  <c r="P39" i="33"/>
  <c r="P40" i="33"/>
  <c r="P41" i="33"/>
  <c r="P42" i="33"/>
  <c r="P43" i="33"/>
  <c r="P38" i="33"/>
  <c r="P29" i="33"/>
  <c r="P30" i="33"/>
  <c r="P31" i="33"/>
  <c r="P32" i="33"/>
  <c r="P33" i="33"/>
  <c r="P34" i="33"/>
  <c r="P35" i="33"/>
  <c r="P36" i="33"/>
  <c r="P28" i="33"/>
  <c r="P5" i="33"/>
  <c r="P6" i="33"/>
  <c r="P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4" i="33"/>
  <c r="N39" i="33"/>
  <c r="N40" i="33"/>
  <c r="N41" i="33"/>
  <c r="N42" i="33"/>
  <c r="N43" i="33"/>
  <c r="N38" i="33"/>
  <c r="N5" i="33"/>
  <c r="N6" i="33"/>
  <c r="N7" i="33"/>
  <c r="N8" i="33"/>
  <c r="N9" i="33"/>
  <c r="N10" i="33"/>
  <c r="N11" i="33"/>
  <c r="N12" i="33"/>
  <c r="N13" i="33"/>
  <c r="N14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28" i="33"/>
  <c r="N29" i="33"/>
  <c r="N30" i="33"/>
  <c r="N31" i="33"/>
  <c r="N32" i="33"/>
  <c r="N33" i="33"/>
  <c r="N34" i="33"/>
  <c r="N35" i="33"/>
  <c r="N36" i="33"/>
  <c r="N4" i="33"/>
  <c r="P13" i="25"/>
  <c r="P14" i="25"/>
  <c r="P15" i="25"/>
  <c r="P16" i="25"/>
  <c r="P17" i="25"/>
  <c r="P18" i="25"/>
  <c r="P19" i="25"/>
  <c r="P20" i="25"/>
  <c r="P12" i="25"/>
  <c r="Q7" i="34"/>
  <c r="Q8" i="34" s="1"/>
  <c r="G133" i="1" s="1"/>
  <c r="G134" i="23" l="1"/>
  <c r="G130" i="22"/>
  <c r="T5" i="33" l="1"/>
  <c r="T6" i="33"/>
  <c r="T8" i="33"/>
  <c r="T9" i="33"/>
  <c r="T10" i="33"/>
  <c r="T11" i="33"/>
  <c r="T12" i="33"/>
  <c r="T13" i="33"/>
  <c r="T14" i="33"/>
  <c r="T15" i="33"/>
  <c r="T16" i="33"/>
  <c r="T17" i="33"/>
  <c r="T18" i="33"/>
  <c r="T19" i="33"/>
  <c r="T20" i="33"/>
  <c r="T21" i="33"/>
  <c r="T22" i="33"/>
  <c r="T23" i="33"/>
  <c r="T24" i="33"/>
  <c r="T25" i="33"/>
  <c r="T26" i="33"/>
  <c r="T28" i="33"/>
  <c r="T29" i="33"/>
  <c r="T30" i="33"/>
  <c r="T31" i="33"/>
  <c r="T32" i="33"/>
  <c r="T33" i="33"/>
  <c r="T34" i="33"/>
  <c r="T35" i="33"/>
  <c r="T36" i="33"/>
  <c r="T38" i="33"/>
  <c r="T39" i="33"/>
  <c r="T40" i="33"/>
  <c r="T41" i="33"/>
  <c r="T42" i="33"/>
  <c r="T43" i="33"/>
  <c r="T4" i="33"/>
  <c r="S7" i="33" l="1"/>
  <c r="T7" i="33" s="1"/>
  <c r="S44" i="33" s="1"/>
  <c r="V16" i="25"/>
  <c r="V20" i="25"/>
  <c r="V19" i="25"/>
  <c r="V18" i="25"/>
  <c r="V17" i="25"/>
  <c r="V15" i="25"/>
  <c r="V14" i="25"/>
  <c r="U21" i="25" s="1"/>
  <c r="U22" i="25" s="1"/>
  <c r="T13" i="25"/>
  <c r="T14" i="25"/>
  <c r="T15" i="25"/>
  <c r="T16" i="25"/>
  <c r="T17" i="25"/>
  <c r="T18" i="25"/>
  <c r="T19" i="25"/>
  <c r="T20" i="25"/>
  <c r="T12" i="25"/>
  <c r="L39" i="33"/>
  <c r="L40" i="33"/>
  <c r="L41" i="33"/>
  <c r="L42" i="33"/>
  <c r="L43" i="33"/>
  <c r="L38" i="33"/>
  <c r="L29" i="33"/>
  <c r="L30" i="33"/>
  <c r="L31" i="33"/>
  <c r="L32" i="33"/>
  <c r="L33" i="33"/>
  <c r="L34" i="33"/>
  <c r="L35" i="33"/>
  <c r="L36" i="33"/>
  <c r="L28" i="33"/>
  <c r="L26" i="33"/>
  <c r="L7" i="33"/>
  <c r="L5" i="33"/>
  <c r="L6" i="33"/>
  <c r="L8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4" i="33"/>
  <c r="N13" i="25"/>
  <c r="N14" i="25"/>
  <c r="N15" i="25"/>
  <c r="N16" i="25"/>
  <c r="N17" i="25"/>
  <c r="N18" i="25"/>
  <c r="N19" i="25"/>
  <c r="N20" i="25"/>
  <c r="N12" i="25"/>
  <c r="R5" i="33"/>
  <c r="R6" i="33"/>
  <c r="R7" i="33"/>
  <c r="R8" i="33"/>
  <c r="R9" i="33"/>
  <c r="R10" i="33"/>
  <c r="R11" i="33"/>
  <c r="R13" i="33"/>
  <c r="R14" i="33"/>
  <c r="R15" i="33"/>
  <c r="R16" i="33"/>
  <c r="R17" i="33"/>
  <c r="R18" i="33"/>
  <c r="R19" i="33"/>
  <c r="R20" i="33"/>
  <c r="R21" i="33"/>
  <c r="R22" i="33"/>
  <c r="R23" i="33"/>
  <c r="R24" i="33"/>
  <c r="R25" i="33"/>
  <c r="R26" i="33"/>
  <c r="R28" i="33"/>
  <c r="R29" i="33"/>
  <c r="R30" i="33"/>
  <c r="R31" i="33"/>
  <c r="R32" i="33"/>
  <c r="R33" i="33"/>
  <c r="R34" i="33"/>
  <c r="R35" i="33"/>
  <c r="R36" i="33"/>
  <c r="R38" i="33"/>
  <c r="R39" i="33"/>
  <c r="R40" i="33"/>
  <c r="R41" i="33"/>
  <c r="R42" i="33"/>
  <c r="R43" i="33"/>
  <c r="R4" i="33"/>
  <c r="S45" i="33" l="1"/>
  <c r="S46" i="33"/>
  <c r="T47" i="33" s="1"/>
  <c r="E38" i="28" s="1"/>
  <c r="G131" i="1" a="1"/>
  <c r="G131" i="1" s="1"/>
  <c r="G128" i="22" a="1"/>
  <c r="G128" i="22" s="1"/>
  <c r="G81" i="22"/>
  <c r="G38" i="28" l="1"/>
  <c r="G132" i="23" a="1"/>
  <c r="G132" i="23" s="1"/>
  <c r="G127" i="22"/>
  <c r="G131" i="23"/>
  <c r="G130" i="1"/>
  <c r="F13" i="25"/>
  <c r="F14" i="25"/>
  <c r="F15" i="25"/>
  <c r="F16" i="25"/>
  <c r="F17" i="25"/>
  <c r="F18" i="25"/>
  <c r="F19" i="25"/>
  <c r="F20" i="25"/>
  <c r="F12" i="25"/>
  <c r="B17" i="28" l="1"/>
  <c r="B8" i="32" s="1"/>
  <c r="B16" i="28"/>
  <c r="B7" i="32" s="1"/>
  <c r="B15" i="28"/>
  <c r="B6" i="32" s="1"/>
  <c r="H17" i="28"/>
  <c r="H16" i="28"/>
  <c r="E142" i="23" l="1"/>
  <c r="E145" i="23" s="1"/>
  <c r="F113" i="23"/>
  <c r="F112" i="23"/>
  <c r="F111" i="23"/>
  <c r="F110" i="23"/>
  <c r="F109" i="23"/>
  <c r="F108" i="23"/>
  <c r="F98" i="23"/>
  <c r="F97" i="23"/>
  <c r="F96" i="23"/>
  <c r="F69" i="23"/>
  <c r="F52" i="23"/>
  <c r="F46" i="23"/>
  <c r="G40" i="23"/>
  <c r="F35" i="23"/>
  <c r="F32" i="23"/>
  <c r="F18" i="23"/>
  <c r="E138" i="22"/>
  <c r="E141" i="22" s="1"/>
  <c r="G131" i="22"/>
  <c r="G151" i="22" s="1"/>
  <c r="F112" i="22"/>
  <c r="F111" i="22"/>
  <c r="F110" i="22"/>
  <c r="F109" i="22"/>
  <c r="F108" i="22"/>
  <c r="F107" i="22"/>
  <c r="F97" i="22"/>
  <c r="F96" i="22"/>
  <c r="F95" i="22"/>
  <c r="F68" i="22"/>
  <c r="F51" i="22"/>
  <c r="F45" i="22"/>
  <c r="G39" i="22"/>
  <c r="F34" i="22"/>
  <c r="F31" i="22"/>
  <c r="F17" i="22"/>
  <c r="F51" i="1"/>
  <c r="F98" i="22" l="1"/>
  <c r="F99" i="23"/>
  <c r="F101" i="23" s="1"/>
  <c r="G82" i="23"/>
  <c r="G90" i="23" s="1"/>
  <c r="G40" i="22"/>
  <c r="G41" i="22" s="1"/>
  <c r="G42" i="22" s="1"/>
  <c r="G43" i="22" s="1"/>
  <c r="G89" i="22"/>
  <c r="G135" i="23"/>
  <c r="G155" i="23" s="1"/>
  <c r="G41" i="23"/>
  <c r="G42" i="23" s="1"/>
  <c r="F54" i="23"/>
  <c r="F114" i="23"/>
  <c r="F125" i="23" s="1"/>
  <c r="F113" i="22"/>
  <c r="F121" i="22" s="1"/>
  <c r="F53" i="22"/>
  <c r="G43" i="23" l="1"/>
  <c r="F100" i="22"/>
  <c r="G44" i="23"/>
  <c r="G46" i="23" s="1"/>
  <c r="G52" i="23" s="1"/>
  <c r="G45" i="22"/>
  <c r="G111" i="22" s="1"/>
  <c r="G108" i="23" l="1"/>
  <c r="G111" i="23"/>
  <c r="G110" i="23"/>
  <c r="G53" i="23"/>
  <c r="G54" i="23" s="1"/>
  <c r="G151" i="23"/>
  <c r="G113" i="23"/>
  <c r="G112" i="23"/>
  <c r="G100" i="23"/>
  <c r="G109" i="23"/>
  <c r="G147" i="22"/>
  <c r="G112" i="22"/>
  <c r="G110" i="22"/>
  <c r="G108" i="22"/>
  <c r="G51" i="22"/>
  <c r="G107" i="22"/>
  <c r="G52" i="22"/>
  <c r="G109" i="22"/>
  <c r="G99" i="22"/>
  <c r="G114" i="23" l="1"/>
  <c r="G125" i="23" s="1"/>
  <c r="G127" i="23" s="1"/>
  <c r="G154" i="23" s="1"/>
  <c r="G88" i="23"/>
  <c r="G95" i="23"/>
  <c r="G99" i="23"/>
  <c r="G96" i="23"/>
  <c r="G98" i="23"/>
  <c r="G97" i="23"/>
  <c r="G113" i="22"/>
  <c r="G121" i="22" s="1"/>
  <c r="G123" i="22" s="1"/>
  <c r="G150" i="22" s="1"/>
  <c r="G53" i="22"/>
  <c r="G62" i="23" l="1"/>
  <c r="G61" i="23"/>
  <c r="G63" i="23"/>
  <c r="G66" i="23"/>
  <c r="G68" i="23"/>
  <c r="G64" i="23"/>
  <c r="G67" i="23"/>
  <c r="G65" i="23"/>
  <c r="G101" i="23"/>
  <c r="G153" i="23" s="1"/>
  <c r="G87" i="22"/>
  <c r="G67" i="22"/>
  <c r="G62" i="22"/>
  <c r="G96" i="22"/>
  <c r="G97" i="22"/>
  <c r="G94" i="22"/>
  <c r="G98" i="22"/>
  <c r="G65" i="22"/>
  <c r="G64" i="22"/>
  <c r="G66" i="22"/>
  <c r="G61" i="22"/>
  <c r="G60" i="22"/>
  <c r="G95" i="22"/>
  <c r="G63" i="22"/>
  <c r="G69" i="23" l="1"/>
  <c r="G89" i="23" s="1"/>
  <c r="G91" i="23" s="1"/>
  <c r="G152" i="23" s="1"/>
  <c r="G156" i="23" s="1"/>
  <c r="G68" i="22"/>
  <c r="G88" i="22" s="1"/>
  <c r="G90" i="22" s="1"/>
  <c r="G100" i="22"/>
  <c r="G149" i="22" s="1"/>
  <c r="G140" i="23" l="1"/>
  <c r="G148" i="22"/>
  <c r="G152" i="22" s="1"/>
  <c r="G136" i="22"/>
  <c r="G141" i="23" l="1"/>
  <c r="G158" i="23" s="1"/>
  <c r="G137" i="22"/>
  <c r="G154" i="22" s="1"/>
  <c r="G17" i="28"/>
  <c r="G29" i="28" l="1"/>
  <c r="G18" i="28"/>
  <c r="G143" i="23"/>
  <c r="D8" i="32"/>
  <c r="H8" i="32" s="1"/>
  <c r="G144" i="23"/>
  <c r="G28" i="28"/>
  <c r="D7" i="32"/>
  <c r="H7" i="32" s="1"/>
  <c r="G140" i="22"/>
  <c r="G139" i="22"/>
  <c r="G145" i="23" l="1"/>
  <c r="G157" i="23" s="1"/>
  <c r="F8" i="32"/>
  <c r="J8" i="32"/>
  <c r="J7" i="32"/>
  <c r="F7" i="32"/>
  <c r="G141" i="22"/>
  <c r="G153" i="22" s="1"/>
  <c r="F96" i="1" l="1"/>
  <c r="G39" i="1"/>
  <c r="G40" i="1" s="1"/>
  <c r="F31" i="1"/>
  <c r="E141" i="1"/>
  <c r="E144" i="1" s="1"/>
  <c r="F112" i="1"/>
  <c r="F111" i="1"/>
  <c r="F110" i="1"/>
  <c r="F109" i="1"/>
  <c r="F108" i="1"/>
  <c r="F107" i="1"/>
  <c r="F97" i="1"/>
  <c r="F95" i="1"/>
  <c r="F68" i="1"/>
  <c r="F53" i="1"/>
  <c r="F45" i="1"/>
  <c r="F34" i="1"/>
  <c r="F17" i="1"/>
  <c r="G134" i="1" l="1"/>
  <c r="G154" i="1" s="1"/>
  <c r="F98" i="1"/>
  <c r="F100" i="1" s="1"/>
  <c r="G41" i="1"/>
  <c r="G42" i="1" s="1"/>
  <c r="G43" i="1" s="1"/>
  <c r="F113" i="1"/>
  <c r="F124" i="1" s="1"/>
  <c r="G45" i="1" l="1"/>
  <c r="G99" i="1" s="1"/>
  <c r="G51" i="1" l="1"/>
  <c r="G150" i="1"/>
  <c r="G81" i="1"/>
  <c r="G89" i="1" s="1"/>
  <c r="G111" i="1"/>
  <c r="G109" i="1"/>
  <c r="G108" i="1"/>
  <c r="G112" i="1"/>
  <c r="G52" i="1"/>
  <c r="G107" i="1"/>
  <c r="G110" i="1"/>
  <c r="G113" i="1" l="1"/>
  <c r="G124" i="1" s="1"/>
  <c r="G126" i="1" s="1"/>
  <c r="G153" i="1" s="1"/>
  <c r="G53" i="1"/>
  <c r="G87" i="1" l="1"/>
  <c r="G67" i="1"/>
  <c r="G65" i="1"/>
  <c r="G98" i="1"/>
  <c r="G63" i="1"/>
  <c r="G66" i="1"/>
  <c r="G61" i="1"/>
  <c r="G96" i="1"/>
  <c r="G62" i="1"/>
  <c r="G64" i="1"/>
  <c r="G95" i="1"/>
  <c r="G97" i="1"/>
  <c r="G94" i="1"/>
  <c r="G60" i="1"/>
  <c r="G68" i="1" l="1"/>
  <c r="G88" i="1" s="1"/>
  <c r="G90" i="1" s="1"/>
  <c r="G100" i="1"/>
  <c r="G152" i="1" s="1"/>
  <c r="G139" i="1" l="1"/>
  <c r="G151" i="1"/>
  <c r="G155" i="1" s="1"/>
  <c r="G140" i="1" l="1"/>
  <c r="G157" i="1" l="1"/>
  <c r="D6" i="32" s="1"/>
  <c r="G30" i="28"/>
  <c r="G31" i="28" s="1"/>
  <c r="G142" i="1" l="1"/>
  <c r="H6" i="32"/>
  <c r="F6" i="32"/>
  <c r="G39" i="28"/>
  <c r="G143" i="1"/>
  <c r="G27" i="28"/>
  <c r="E37" i="28"/>
  <c r="E40" i="28" s="1"/>
  <c r="G144" i="1" l="1"/>
  <c r="G156" i="1" s="1"/>
  <c r="H132" i="23"/>
  <c r="H128" i="22"/>
  <c r="H131" i="1"/>
</calcChain>
</file>

<file path=xl/comments1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gestor_seg</author>
  </authors>
  <commentList>
    <comment ref="F110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<sst xmlns="http://schemas.openxmlformats.org/spreadsheetml/2006/main" count="1027" uniqueCount="380">
  <si>
    <t>MINISTÉRIO DE MINAS E ENERGIA</t>
  </si>
  <si>
    <t>Secretaria Executiva</t>
  </si>
  <si>
    <t>Subsecretaria de Planejamento, Orçamento e Administração</t>
  </si>
  <si>
    <t>Coordenação Geral de Recursos Logísticos</t>
  </si>
  <si>
    <t>Coordenação de Atividades Gerais</t>
  </si>
  <si>
    <t>Item</t>
  </si>
  <si>
    <t>Valor (R$)</t>
  </si>
  <si>
    <t>Total</t>
  </si>
  <si>
    <t>Un</t>
  </si>
  <si>
    <t xml:space="preserve">PLANILHA DE CUSTO E FORMAÇÃO DE PREÇOS DE MÃO-DE-OBRA                                                                                                                                                                 </t>
  </si>
  <si>
    <t>ANEXO VII-D - Instrução Normativa nº 5/2017-SEGES/MPDG -  INSTRUÇÃO NORMATIVA Nº 7, DE 20 DE SETEMBRO DE 2018 - SEM DESONERAÇÃO DO INSS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</si>
  <si>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</si>
  <si>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</si>
  <si>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</si>
  <si>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</si>
  <si>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</si>
  <si>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</si>
  <si>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</si>
  <si>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</si>
  <si>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</si>
  <si>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</si>
  <si>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</si>
  <si>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</si>
  <si>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</si>
  <si>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</si>
  <si>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</si>
  <si>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</si>
  <si>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</si>
  <si>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</si>
  <si>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</si>
  <si>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</si>
  <si>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</si>
  <si>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</si>
  <si>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</si>
  <si>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 xml:space="preserve">Adicional  de Insalubridade </t>
  </si>
  <si>
    <t>Adicional Noturno</t>
  </si>
  <si>
    <t>E</t>
  </si>
  <si>
    <t>Adicional de Hora Noturna Reduzida</t>
  </si>
  <si>
    <t>F</t>
  </si>
  <si>
    <t xml:space="preserve">Outros (especificar)                                                                                              </t>
  </si>
  <si>
    <t>Total da Remuneração</t>
  </si>
  <si>
    <t>MÓDULO 2:   ENCARGOS E BENEFÍCIOS ANUAIS, MENSAIS E DIÁRIOS</t>
  </si>
  <si>
    <t>Submódulo 2.1 - 13º (décimo teceiro) Salário, Férias e Adicional de Férias</t>
  </si>
  <si>
    <t>2.1</t>
  </si>
  <si>
    <t>13º (décimo teceiro)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</si>
  <si>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</si>
  <si>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</si>
  <si>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</si>
  <si>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</si>
  <si>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</si>
  <si>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</si>
  <si>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</si>
  <si>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</si>
  <si>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 xml:space="preserve">SAT - Seguro de Acidente do Trabalho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</si>
  <si>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</si>
  <si>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</si>
  <si>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</si>
  <si>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</si>
  <si>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</si>
  <si>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</si>
  <si>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</si>
  <si>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</si>
  <si>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</si>
  <si>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</si>
  <si>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</si>
  <si>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 xml:space="preserve">Auxílio Creche 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</si>
  <si>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</si>
  <si>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</si>
  <si>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</si>
  <si>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</si>
  <si>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</si>
  <si>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</si>
  <si>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</si>
  <si>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</si>
  <si>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</si>
  <si>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</si>
  <si>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</si>
  <si>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</si>
  <si>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</si>
  <si>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</si>
  <si>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</si>
  <si>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</si>
  <si>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</si>
  <si>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</si>
  <si>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</si>
  <si>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</si>
  <si>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</si>
  <si>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</si>
  <si>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</si>
  <si>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 xml:space="preserve">Lucro  (Estudo TCU - TC 025.990/2008-2) </t>
  </si>
  <si>
    <t>Tributos</t>
  </si>
  <si>
    <t>2. QUADRO-RESUMO DO CUSTO POR EMPREGADO</t>
  </si>
  <si>
    <t>Mão-de-obra vinculada à execução contratual (valor por empregado)</t>
  </si>
  <si>
    <t>(R$)</t>
  </si>
  <si>
    <t>Subtotal (A + B +C+ D+E)</t>
  </si>
  <si>
    <t>Valor total por empregado</t>
  </si>
  <si>
    <t>01 de janeiro</t>
  </si>
  <si>
    <t>Descrição</t>
  </si>
  <si>
    <t>Quant. Anual</t>
  </si>
  <si>
    <t>Outros</t>
  </si>
  <si>
    <t>SECRETARIA-EXECUTIVA</t>
  </si>
  <si>
    <t>SUBSECRETARIA DE PLANEJAMENTO, ORÇAMENTO E ADMINISTRAÇÃO</t>
  </si>
  <si>
    <t>COORDENAÇÃO-GERAL DE RECURSOS LOGÍSTICOS</t>
  </si>
  <si>
    <t>COORDENÇÃO DE ATIVIDADES GERAIS</t>
  </si>
  <si>
    <r>
      <t>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Processo: </t>
    </r>
  </si>
  <si>
    <r>
      <t>Licitação 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</t>
    </r>
  </si>
  <si>
    <r>
      <t>N</t>
    </r>
    <r>
      <rPr>
        <strike/>
        <sz val="10"/>
        <color theme="1"/>
        <rFont val="Calibri Light"/>
        <family val="2"/>
        <scheme val="major"/>
      </rPr>
      <t>º</t>
    </r>
    <r>
      <rPr>
        <sz val="10"/>
        <color theme="1"/>
        <rFont val="Calibri Light"/>
        <family val="2"/>
        <scheme val="major"/>
      </rPr>
      <t xml:space="preserve"> de meses de execução contratual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</si>
  <si>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</si>
  <si>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</si>
  <si>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9"/>
        <color theme="1"/>
        <rFont val="Calibri Light"/>
        <family val="2"/>
        <scheme val="major"/>
      </rPr>
      <t>MÓDULO 1 :   COMPOSIÇÃO DA REMUNERAÇÃO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</si>
  <si>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</t>
    </r>
    <r>
      <rPr>
        <b/>
        <sz val="8"/>
        <color theme="1"/>
        <rFont val="Calibri Light"/>
        <family val="2"/>
        <scheme val="major"/>
      </rPr>
      <t>Módulo 1</t>
    </r>
    <r>
      <rPr>
        <sz val="8"/>
        <color theme="1"/>
        <rFont val="Calibri Light"/>
        <family val="2"/>
        <scheme val="major"/>
      </rPr>
      <t xml:space="preserve"> refere-se ao valor mensal devido ao empregado pela prestação do serviço no período de 12 meses. 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</si>
  <si>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Como a planilha de custos e formação de preços é calculada mensalmente, provisiona-se proporcionalmente 1/12 (um doze avos) dos valores referentes a gratificação natalina, férias e adicional de férias.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</si>
  <si>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adicional de férias contido no Submódulo 2.1 corresponde a 1/3 (um terço) da remuneração que por sua vez é divido por 12 (doze) conforme Nota 1 acima</t>
    </r>
  </si>
  <si>
    <r>
      <rPr>
        <b/>
        <sz val="8"/>
        <color rgb="FF000000"/>
        <rFont val="Calibri Light"/>
        <family val="2"/>
        <scheme val="major"/>
      </rP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 no art. 57 da Lei nº 8.666, de 23 de junho de 1993, a rubrica férias tem como objetivo principal suprir a necessidade do pagamento das férias remuneradas ao final do contrato de 12 meses. </t>
    </r>
    <r>
      <rPr>
        <b/>
        <sz val="8"/>
        <color rgb="FF000000"/>
        <rFont val="Calibri Light"/>
        <family val="2"/>
        <scheme val="major"/>
      </rPr>
      <t>Esta rubrica, quando da prorrogação contratual, torna-se custo não renovável.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</si>
  <si>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Os percentuais dos encargos previdenciários, do FGTS e demais contribuições são aqueles estabelecidos pela legislação vigente.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</si>
  <si>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</t>
    </r>
    <r>
      <rPr>
        <b/>
        <sz val="8"/>
        <color theme="1"/>
        <rFont val="Calibri Light"/>
        <family val="2"/>
        <scheme val="major"/>
      </rPr>
      <t xml:space="preserve"> SAT</t>
    </r>
    <r>
      <rPr>
        <sz val="8"/>
        <color theme="1"/>
        <rFont val="Calibri Light"/>
        <family val="2"/>
        <scheme val="major"/>
      </rPr>
      <t xml:space="preserve"> a depender do grau de risco do serviço irá </t>
    </r>
    <r>
      <rPr>
        <b/>
        <sz val="8"/>
        <color theme="1"/>
        <rFont val="Calibri Light"/>
        <family val="2"/>
        <scheme val="major"/>
      </rPr>
      <t>variar entre 1%, para risco leve, de 2%, para risco médio, e de 3% de risco grave.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</si>
  <si>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valor informado deverá ser o custo real do benefício (descontado o valor eventualmente pago pelo empregado).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</si>
  <si>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Observar a previsão dos benefícios contidos em Acordos, Convenções e Dissídios Coletivos de Trabalho e atentar-se ao disposto no art. 6º desta Instrução Normativa.</t>
    </r>
  </si>
  <si>
    <r>
      <rPr>
        <b/>
        <sz val="10"/>
        <color theme="1"/>
        <rFont val="Calibri Light"/>
        <family val="2"/>
        <scheme val="major"/>
      </rPr>
      <t xml:space="preserve">Aviso Prévio Indenizado                                                                                                                          </t>
    </r>
    <r>
      <rPr>
        <b/>
        <sz val="8"/>
        <color theme="1"/>
        <rFont val="Calibri Light"/>
        <family val="2"/>
        <scheme val="major"/>
      </rPr>
      <t xml:space="preserve">   </t>
    </r>
    <r>
      <rPr>
        <sz val="8"/>
        <color theme="1"/>
        <rFont val="Calibri Light"/>
        <family val="2"/>
        <scheme val="major"/>
      </rPr>
      <t xml:space="preserve"> (Estimativa: 5% dos empregados serão substituídos durante um ano)  - [(5%)/12] = 0,417%   art. 487 CLT - Sumula 305/TST, Ac.2.271/2010-TCU,  Lei nº 12506/2011.</t>
    </r>
  </si>
  <si>
    <r>
      <rPr>
        <b/>
        <sz val="10"/>
        <color theme="1"/>
        <rFont val="Calibri Light"/>
        <family val="2"/>
        <scheme val="major"/>
      </rPr>
      <t xml:space="preserve">Incidência do FGTS sobre o Aviso Prévio Indenizado </t>
    </r>
    <r>
      <rPr>
        <sz val="10"/>
        <color theme="1"/>
        <rFont val="Calibri Light"/>
        <family val="2"/>
        <scheme val="major"/>
      </rPr>
      <t>(8% x 0,417%)</t>
    </r>
  </si>
  <si>
    <r>
      <rPr>
        <b/>
        <sz val="10"/>
        <color theme="1"/>
        <rFont val="Calibri Light"/>
        <family val="2"/>
        <scheme val="major"/>
      </rPr>
      <t xml:space="preserve">Multa do FGTS sobre o Aviso Prévio Indenizado </t>
    </r>
    <r>
      <rPr>
        <sz val="10"/>
        <color theme="1"/>
        <rFont val="Calibri Light"/>
        <family val="2"/>
        <scheme val="major"/>
      </rPr>
      <t xml:space="preserve">                                                 </t>
    </r>
    <r>
      <rPr>
        <sz val="8"/>
        <color theme="1"/>
        <rFont val="Calibri Light"/>
        <family val="2"/>
        <scheme val="major"/>
      </rPr>
      <t xml:space="preserve"> (multa de 40% sobre FGTS ) x Aviso Prévio Indenizado (0,417%) =  (0,417%)*0,40  =  0,167%  (Art. 18, § 1º da Lei nº 8.036/90,Art. 1º da Lei Complementar nº 110/2001)</t>
    </r>
  </si>
  <si>
    <r>
      <rPr>
        <b/>
        <sz val="10"/>
        <color theme="1"/>
        <rFont val="Calibri Light"/>
        <family val="2"/>
        <scheme val="major"/>
      </rPr>
      <t>Aviso Prévio Trabalhado</t>
    </r>
    <r>
      <rPr>
        <sz val="10"/>
        <color theme="1"/>
        <rFont val="Calibri Light"/>
        <family val="2"/>
        <scheme val="major"/>
      </rPr>
      <t xml:space="preserve">                                  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</si>
  <si>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10"/>
        <color theme="1"/>
        <rFont val="Calibri Light"/>
        <family val="2"/>
        <scheme val="major"/>
      </rPr>
      <t>Multa do FGTS sobre o Aviso Prévio Trabalhado</t>
    </r>
    <r>
      <rPr>
        <sz val="10"/>
        <color theme="1"/>
        <rFont val="Calibri Light"/>
        <family val="2"/>
        <scheme val="major"/>
      </rPr>
      <t xml:space="preserve"> </t>
    </r>
    <r>
      <rPr>
        <sz val="8"/>
        <color theme="1"/>
        <rFont val="Calibri Light"/>
        <family val="2"/>
        <scheme val="major"/>
      </rPr>
      <t>(40% x 1,944%)</t>
    </r>
  </si>
  <si>
    <r>
      <t xml:space="preserve">Nota 1: </t>
    </r>
    <r>
      <rPr>
        <sz val="8"/>
        <color theme="1"/>
        <rFont val="Calibri Light"/>
        <family val="2"/>
        <scheme val="major"/>
      </rPr>
      <t>Os itens que contemplam o</t>
    </r>
    <r>
      <rPr>
        <b/>
        <sz val="8"/>
        <color theme="1"/>
        <rFont val="Calibri Light"/>
        <family val="2"/>
        <scheme val="major"/>
      </rPr>
      <t xml:space="preserve"> módulo 4 se referem ao custo dos dias trabalhados pelo repositor/substituto, quando </t>
    </r>
    <r>
      <rPr>
        <sz val="8"/>
        <color theme="1"/>
        <rFont val="Calibri Light"/>
        <family val="2"/>
        <scheme val="major"/>
      </rPr>
      <t>o empregado</t>
    </r>
    <r>
      <rPr>
        <b/>
        <sz val="8"/>
        <color theme="1"/>
        <rFont val="Calibri Light"/>
        <family val="2"/>
        <scheme val="major"/>
      </rPr>
      <t xml:space="preserve"> alocado na prestação de serviço estiver ausente, </t>
    </r>
    <r>
      <rPr>
        <sz val="8"/>
        <color theme="1"/>
        <rFont val="Calibri Light"/>
        <family val="2"/>
        <scheme val="major"/>
      </rPr>
      <t>conforme as previsões estabelecidas na legislação.</t>
    </r>
  </si>
  <si>
    <r>
      <t xml:space="preserve">Substituto na cobertura de Ausências Legais </t>
    </r>
    <r>
      <rPr>
        <sz val="8"/>
        <color theme="1"/>
        <rFont val="Calibri Light"/>
        <family val="2"/>
        <scheme val="major"/>
      </rPr>
      <t>(estatística - uma/ano) = (1/12)/30</t>
    </r>
  </si>
  <si>
    <r>
      <t xml:space="preserve">Substituto na cobertura de Licença-Paternidade </t>
    </r>
    <r>
      <rPr>
        <sz val="8"/>
        <color theme="1"/>
        <rFont val="Calibri Light"/>
        <family val="2"/>
        <scheme val="major"/>
      </rPr>
      <t>(Estatística 1,5 % trabalhadores/ano)</t>
    </r>
  </si>
  <si>
    <r>
      <t>Substituto na cobertura de Ausência por Acidente de Trabalho</t>
    </r>
    <r>
      <rPr>
        <sz val="8"/>
        <color theme="1"/>
        <rFont val="Calibri Light"/>
        <family val="2"/>
        <scheme val="major"/>
      </rPr>
      <t xml:space="preserve"> (estatística IBGE - 8% por ano - 15 dias pagos pela empresa) = [(8%)/12]/2</t>
    </r>
  </si>
  <si>
    <r>
      <t xml:space="preserve">Substituto na cobertura de Afastamento Maternidade </t>
    </r>
    <r>
      <rPr>
        <sz val="8"/>
        <color theme="1"/>
        <rFont val="Calibri Light"/>
        <family val="2"/>
        <scheme val="major"/>
      </rPr>
      <t>(Estatística 1,5 % trabalhadoras/ano) = (1,5%)/12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</si>
  <si>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</si>
  <si>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Quando houver a necessidade de reposição de um empregado durante sua ausência nos casos de intervalo para repouso ou alimentação deve-se contemplar o Submódulo 4.2.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</si>
  <si>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Valores mensais por empregado</t>
    </r>
  </si>
  <si>
    <r>
      <rPr>
        <b/>
        <sz val="10"/>
        <color theme="1"/>
        <rFont val="Calibri Light"/>
        <family val="2"/>
        <scheme val="major"/>
      </rPr>
      <t>C.1.</t>
    </r>
    <r>
      <rPr>
        <sz val="10"/>
        <color theme="1"/>
        <rFont val="Calibri Light"/>
        <family val="2"/>
        <scheme val="major"/>
      </rPr>
      <t xml:space="preserve"> Tributos Federais - PIS (0,65% ) + COFINS (3,00)</t>
    </r>
  </si>
  <si>
    <r>
      <rPr>
        <b/>
        <sz val="10"/>
        <color theme="1"/>
        <rFont val="Calibri Light"/>
        <family val="2"/>
        <scheme val="major"/>
      </rPr>
      <t>C.2.</t>
    </r>
    <r>
      <rPr>
        <sz val="10"/>
        <color theme="1"/>
        <rFont val="Calibri Light"/>
        <family val="2"/>
        <scheme val="major"/>
      </rPr>
      <t xml:space="preserve"> Tributos Estaduais  - ISS (5%) (Distrito Federal)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</si>
  <si>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Custos Indiretos, Tributos e Lucro por empregado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</si>
  <si>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valor referente a tributos é obtido aplicando-se o percentual sobre o valor do faturamento.</t>
    </r>
  </si>
  <si>
    <r>
      <rPr>
        <b/>
        <sz val="10"/>
        <color theme="1"/>
        <rFont val="Calibri Light"/>
        <family val="2"/>
        <scheme val="major"/>
      </rPr>
      <t>Módulo 1</t>
    </r>
    <r>
      <rPr>
        <sz val="10"/>
        <color theme="1"/>
        <rFont val="Calibri Light"/>
        <family val="2"/>
        <scheme val="major"/>
      </rPr>
      <t xml:space="preserve"> – Composição da Remuneração</t>
    </r>
  </si>
  <si>
    <r>
      <rPr>
        <b/>
        <sz val="10"/>
        <color theme="1"/>
        <rFont val="Calibri Light"/>
        <family val="2"/>
        <scheme val="major"/>
      </rPr>
      <t xml:space="preserve">Módulo 2 </t>
    </r>
    <r>
      <rPr>
        <sz val="10"/>
        <color theme="1"/>
        <rFont val="Calibri Light"/>
        <family val="2"/>
        <scheme val="major"/>
      </rPr>
      <t>– Encargos e Benefícios Anuais, Mensais e Diários</t>
    </r>
  </si>
  <si>
    <r>
      <rPr>
        <b/>
        <sz val="10"/>
        <color theme="1"/>
        <rFont val="Calibri Light"/>
        <family val="2"/>
        <scheme val="major"/>
      </rPr>
      <t>Módulo 3</t>
    </r>
    <r>
      <rPr>
        <sz val="10"/>
        <color theme="1"/>
        <rFont val="Calibri Light"/>
        <family val="2"/>
        <scheme val="major"/>
      </rPr>
      <t xml:space="preserve"> – Provisão para Rescisão</t>
    </r>
  </si>
  <si>
    <r>
      <rPr>
        <b/>
        <sz val="10"/>
        <color theme="1"/>
        <rFont val="Calibri Light"/>
        <family val="2"/>
        <scheme val="major"/>
      </rPr>
      <t>Módulo 4</t>
    </r>
    <r>
      <rPr>
        <sz val="10"/>
        <color theme="1"/>
        <rFont val="Calibri Light"/>
        <family val="2"/>
        <scheme val="major"/>
      </rPr>
      <t xml:space="preserve"> – Custo de Reposição do Profissional Ausente</t>
    </r>
  </si>
  <si>
    <r>
      <rPr>
        <b/>
        <sz val="10"/>
        <color theme="1"/>
        <rFont val="Calibri Light"/>
        <family val="2"/>
        <scheme val="major"/>
      </rPr>
      <t xml:space="preserve">Módulo 5 </t>
    </r>
    <r>
      <rPr>
        <sz val="10"/>
        <color theme="1"/>
        <rFont val="Calibri Light"/>
        <family val="2"/>
        <scheme val="major"/>
      </rPr>
      <t>- Insumos Diversos</t>
    </r>
  </si>
  <si>
    <r>
      <rPr>
        <b/>
        <sz val="10"/>
        <color theme="1"/>
        <rFont val="Calibri Light"/>
        <family val="2"/>
        <scheme val="major"/>
      </rPr>
      <t>Módulo 6</t>
    </r>
    <r>
      <rPr>
        <sz val="10"/>
        <color theme="1"/>
        <rFont val="Calibri Light"/>
        <family val="2"/>
        <scheme val="major"/>
      </rPr>
      <t xml:space="preserve"> – Custos Indiretos, Tributos e Lucro</t>
    </r>
  </si>
  <si>
    <t>5103-05</t>
  </si>
  <si>
    <t>Salário Base -36 hs/semana</t>
  </si>
  <si>
    <t>Prestação de serviços continuados de prevenção e combate a princípio de incêndio e pânico, e de elaboração e atualização de Plano de Prevenção, Combate a Incêndio e Abandono (PPCIA), por meio de Brigada de Incêndio Particular, no Bloco “U” da Esplanada dos Ministérios, em Brasília/DF, sedes do Ministério de Minas e Energia e Minsitério do Turismo.</t>
  </si>
  <si>
    <r>
      <rPr>
        <b/>
        <sz val="10"/>
        <color theme="1"/>
        <rFont val="Calibri Light"/>
        <family val="2"/>
        <scheme val="major"/>
      </rPr>
      <t xml:space="preserve">Incidência dos encargos do Submódulo 2.2 </t>
    </r>
    <r>
      <rPr>
        <sz val="10"/>
        <color theme="1"/>
        <rFont val="Calibri Light"/>
        <family val="2"/>
        <scheme val="major"/>
      </rPr>
      <t>sobre o Aviso Prévio Trabalhado</t>
    </r>
    <r>
      <rPr>
        <sz val="8"/>
        <color theme="1"/>
        <rFont val="Calibri Light"/>
        <family val="2"/>
        <scheme val="major"/>
      </rPr>
      <t xml:space="preserve"> (35,8% x 1,944%)</t>
    </r>
  </si>
  <si>
    <r>
      <t>Substituto na cobertura de Outras ausências</t>
    </r>
    <r>
      <rPr>
        <sz val="8"/>
        <color theme="1"/>
        <rFont val="Calibri Light"/>
        <family val="2"/>
        <scheme val="major"/>
      </rPr>
      <t xml:space="preserve"> (5 ausencias/por ano)= (5/12)/30</t>
    </r>
  </si>
  <si>
    <t>Bombeiro Civil Líder (Chefe de Brigada)</t>
  </si>
  <si>
    <t xml:space="preserve">Bombeiro Civil </t>
  </si>
  <si>
    <t>Bombeiro Civil  (Brigadista) Diurno</t>
  </si>
  <si>
    <t>Adicional de Hora Noturna Reduzida -  (já incluído no Item D)</t>
  </si>
  <si>
    <t>par</t>
  </si>
  <si>
    <t>Bombacho de elástico</t>
  </si>
  <si>
    <t>un</t>
  </si>
  <si>
    <t>Uniforme Brigadistas</t>
  </si>
  <si>
    <t>Anexo V - Quadro-resumo – VALOR MENSAL DOS SERVIÇOS</t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</si>
  <si>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</si>
  <si>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</si>
  <si>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</si>
  <si>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</si>
  <si>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</si>
  <si>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</si>
  <si>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Qtde de empregado por tipo de serviço</t>
  </si>
  <si>
    <t>(A)</t>
  </si>
  <si>
    <t>(B)</t>
  </si>
  <si>
    <t>(C)</t>
  </si>
  <si>
    <t>(D) = (B x C)</t>
  </si>
  <si>
    <t>(E)</t>
  </si>
  <si>
    <t>(F) = (D x E)</t>
  </si>
  <si>
    <t>I</t>
  </si>
  <si>
    <t>II</t>
  </si>
  <si>
    <t>VALOR MENSAL DOS SERVIÇOS (I + II + III)</t>
  </si>
  <si>
    <t>Anexo V - Quadro - demonstrativo - VALOR GLOBAL DA PROPOSTA</t>
  </si>
  <si>
    <t>Valor Global da Proposta</t>
  </si>
  <si>
    <t>Valor proposto por unidade de medida *</t>
  </si>
  <si>
    <t>A1</t>
  </si>
  <si>
    <t>A2</t>
  </si>
  <si>
    <t>A5</t>
  </si>
  <si>
    <t>Valor mensal do serviço</t>
  </si>
  <si>
    <t>Valor global da proposta (valor mensal do serviço x 12 meses do contrato).</t>
  </si>
  <si>
    <t>         Nota (1): Informar o valor da unidade de medida por tipo de serviço.</t>
  </si>
  <si>
    <t>Bombeiro Civil  (Brigadista) Noturno</t>
  </si>
  <si>
    <t xml:space="preserve">ANEXO VII-D - Instrução Normativa nº 5/2017-SEGES/MPDG -  INSTRUÇÃO NORMATIVA Nº 7, DE 20 DE SETEMBRO DE 2018 - SEM DESONERAÇÃO DO INSS </t>
  </si>
  <si>
    <t xml:space="preserve">Materiais de Consumo (faturado sob demanda) </t>
  </si>
  <si>
    <t>1.0</t>
  </si>
  <si>
    <t>1.1</t>
  </si>
  <si>
    <t>1.2</t>
  </si>
  <si>
    <t>1.3</t>
  </si>
  <si>
    <t>Unit.</t>
  </si>
  <si>
    <t>2.0</t>
  </si>
  <si>
    <t>Especificações dos Uniformes</t>
  </si>
  <si>
    <t>Unid</t>
  </si>
  <si>
    <t>Camiseta em tecido de malha fria, cor amarela, com punho nas mangas, estampado nas costas com a cor preta o nome “BOMBEIRO CIVIL” (Bombeiro — em meia lua, Civil - reto); na frente do peito do lado esquerdo a logo marca da empresa.</t>
  </si>
  <si>
    <t>Calça em tecido “Rip-stop” (padrão estipulado pelo CBM-DF, NT 07/201 1), com refletivos.</t>
  </si>
  <si>
    <t>Gandola em tecido “Rip-stop” (padrão estipulado pelo CBM-DF, NT 07/2011), com faixas refletivas, e acima do bolso ao lado esquerdo a logo marca estampada da empresa. Na manga direita, altura do ombro, velcro para a implementação da logo marca da Brigada contra Incêndio e identificação do Posto de serviço.</t>
  </si>
  <si>
    <t>Coturno em cabedal em couro nobuk hidrofugado, espessura de 2 mm, dublado com tecido de poliéster e colarinho de couro pelica; forração interna de acrílico automotivo com isolante térmico em EVA; reforço interno de material termo plástico leve e resistente, no un 2 bico e calcanhar; solda de borracha maciço vulcanizado aucabedal, resistente a corrente elétrica; vedação resistente a água ou 100% impermeável. Um par a cada semestre conforme legislação</t>
  </si>
  <si>
    <t>Meião de tecido 60% algodão, cor preta, 39% 120 poliamida e 1% elastano.</t>
  </si>
  <si>
    <t>Par</t>
  </si>
  <si>
    <t>Cinto confeccionando em poliéster, cor preta, com fivela e ponteira metálica na cor prata</t>
  </si>
  <si>
    <t>Bornal Resgate Perna Bombeiro Civil Impermeavel Pochete Aph</t>
  </si>
  <si>
    <t>Total Por Brigadista/Mês</t>
  </si>
  <si>
    <t>Total Anual Por Brigadista</t>
  </si>
  <si>
    <t>Quant Anual/Brigadista</t>
  </si>
  <si>
    <t>Descrição/especificação</t>
  </si>
  <si>
    <t xml:space="preserve">Materiais de Consumo/Equipamentos de Proteção Individual - EPI (faturado sob demanda) </t>
  </si>
  <si>
    <t>Materiais e Equipamentos Básicos/Permanentes (Primeiros Socorros/Operacionais)</t>
  </si>
  <si>
    <t>Conjunto de primeiros socorros</t>
  </si>
  <si>
    <t>1.4</t>
  </si>
  <si>
    <t>1.5</t>
  </si>
  <si>
    <t>1.6</t>
  </si>
  <si>
    <t>1.7</t>
  </si>
  <si>
    <t>1.9</t>
  </si>
  <si>
    <t>1.10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</si>
  <si>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</si>
  <si>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</si>
  <si>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</si>
  <si>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</si>
  <si>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</si>
  <si>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</si>
  <si>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</si>
  <si>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</si>
  <si>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</si>
  <si>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1.29</t>
  </si>
  <si>
    <t>1.30</t>
  </si>
  <si>
    <t>2.4</t>
  </si>
  <si>
    <t>2.5</t>
  </si>
  <si>
    <t>2.6</t>
  </si>
  <si>
    <t>2.7</t>
  </si>
  <si>
    <t>2.8</t>
  </si>
  <si>
    <t>2.9</t>
  </si>
  <si>
    <t>VALOR GLOBAL TOTAL ANUAL (SERVIÇOS/MÃO DE OBRA + MATERIAIS)</t>
  </si>
  <si>
    <t>Mensal  (R$)</t>
  </si>
  <si>
    <t>Anual (R$)</t>
  </si>
  <si>
    <t>Mão de Obra</t>
  </si>
  <si>
    <r>
      <t xml:space="preserve">Chefe de Brigada - </t>
    </r>
    <r>
      <rPr>
        <b/>
        <u/>
        <sz val="10"/>
        <rFont val="Calibri"/>
        <family val="2"/>
        <scheme val="minor"/>
      </rPr>
      <t>Diurno</t>
    </r>
    <r>
      <rPr>
        <sz val="10"/>
        <rFont val="Calibri"/>
        <family val="2"/>
        <scheme val="minor"/>
      </rPr>
      <t xml:space="preserve"> - 36 hs/semana</t>
    </r>
  </si>
  <si>
    <r>
      <t xml:space="preserve">Brigadista </t>
    </r>
    <r>
      <rPr>
        <b/>
        <u/>
        <sz val="10"/>
        <rFont val="Calibri"/>
        <family val="2"/>
        <scheme val="minor"/>
      </rPr>
      <t>Diurno</t>
    </r>
    <r>
      <rPr>
        <sz val="10"/>
        <rFont val="Calibri"/>
        <family val="2"/>
        <scheme val="minor"/>
      </rPr>
      <t xml:space="preserve">  - 36 hs/semana</t>
    </r>
  </si>
  <si>
    <r>
      <t xml:space="preserve">Brigadista </t>
    </r>
    <r>
      <rPr>
        <b/>
        <u/>
        <sz val="10"/>
        <rFont val="Calibri"/>
        <family val="2"/>
        <scheme val="minor"/>
      </rPr>
      <t xml:space="preserve">Noturno </t>
    </r>
    <r>
      <rPr>
        <sz val="10"/>
        <rFont val="Calibri"/>
        <family val="2"/>
        <scheme val="minor"/>
      </rPr>
      <t xml:space="preserve"> - 36 hs/semana</t>
    </r>
  </si>
  <si>
    <t>PLANILHA DE CUSTOS E FORMAÇÃO DE PREÇOS DE SERVIÇOS DE  BRIGADA CONTRA INCÊNDIO - IN 5/2017-SEGES/MPOG</t>
  </si>
  <si>
    <t>Prestação de serviços continuados de prevenção e combate a princípio de incêndio e pânico, e de elaboração e atualização de Plano de Prevenção, Combate a Incêndio e Abandono (PPCIA), por meio de Brigada de Incêndio Particular, no Bloco “U” da Esplanada dos Ministérios, em Brasília/DF, sedes do Ministério de Minas e Energia e Ministério do Turismo.</t>
  </si>
  <si>
    <t>Un.</t>
  </si>
  <si>
    <t>Órgão Público</t>
  </si>
  <si>
    <t xml:space="preserve">Categoria profissional </t>
  </si>
  <si>
    <t>un.</t>
  </si>
  <si>
    <t>III</t>
  </si>
  <si>
    <t>Pesquisa de Preços de Mão de Obra Brigadistas/Bombeiros Civis em Órgãos Públicos</t>
  </si>
  <si>
    <t>Diferença % em relação ao MME</t>
  </si>
  <si>
    <t>Análise  da pesquisa</t>
  </si>
  <si>
    <t xml:space="preserve">Valor Mensal Estimado  MME </t>
  </si>
  <si>
    <t>Valor Mensal Contratado</t>
  </si>
  <si>
    <t>Observa-se que os preços pesquisados são inferiores aos preços estimados pelo MME, o que pode ser visto como normal, uma vez que aqueles são resultados de um processo licitatório e depois ainda por conta da negociação de redução da proposta vencedora. Já os preços do MME são referenciais máximos, cujas Planilhas de Custos e Formação de Preços utilizaram os percentuais de 5% para as rubricas de Custos Indiretos  e para  Lucro, o que pode ter variação para menos, em função do perfil da licitante.</t>
  </si>
  <si>
    <t>Atadura de crepe de 15 cm cor natural, constituída de fios de algodão cru -pacote c/ 12 unidades.</t>
  </si>
  <si>
    <t>Atadura de crepe de 20 cm cor natural, constituída de fios de algodão cru -pacote c/ 12 unidades.</t>
  </si>
  <si>
    <t>casaco Agasalho de Frio 100% algodão sendo acochoada interno</t>
  </si>
  <si>
    <t>ITEM</t>
  </si>
  <si>
    <t>Uni. de Medida</t>
  </si>
  <si>
    <t>Algodão hidrófilo em camadas (manta) contínuas em forma de rolo com aspecto homogêneo e macio, cor branca, peso 500 gramas.</t>
  </si>
  <si>
    <t>Rolo</t>
  </si>
  <si>
    <t xml:space="preserve">Água oxigenada 10 volumes, frasco de 100 ml Normas técnicas: registro no IMETRO, Ministério da Saúde. Constar na embalagem do produto informações: composição, fabricante, número do lote, data de fabricação, validade, entre outras. Lacre inviolado. </t>
  </si>
  <si>
    <t>Uni</t>
  </si>
  <si>
    <t>Álcool, etílico hidratado 70% INPM, baixo teor de acidez e aldeídos, indicado especialmente para limpeza de superfícies. Normas técnicas: registro no IMETRO, Ministério da Saúde. Constar na embalagem do produto informações: composição, fabricante, número do lote, data de fabricação, validade, entre outras. Lacre inviolado. Fornecimento embalagem de 1 Litro, cx  com 12 .</t>
  </si>
  <si>
    <t>CX</t>
  </si>
  <si>
    <t>Pct</t>
  </si>
  <si>
    <t>Atadura de crepe de 25 cm cor natural, constituída de fios de algodão cru - pacote c/ 12 unidades.</t>
  </si>
  <si>
    <t>Band-Aid curativos transparente -  cx 40 Unidade</t>
  </si>
  <si>
    <t>Bota para combate a incêndio fabricada em borracha vulcanizada, forrada internamente com tecido acrílico antichamas, possui palmilha e biqueira de aço, protetor de tíbia e alça de transporte, cor preta e amarela com faixa refletiva. Proteção mecânica contra queda de materiais pesados, perfurantes e proteção elétrica além da proteção térmica. Tamanho 41</t>
  </si>
  <si>
    <t>Bota para combate a incêndio fabricada em borracha vulcanizada, forrada internamente com tecido acrílico antichamas, possui palmilha e biqueira de aço, protetor de tíbia e alça de transporte, cor preta e amarela com faixa refletiva. Proteção mecânica contra queda de materiais pesados, perfurantes e proteção elétrica além da proteção térmica. Tamanho 45</t>
  </si>
  <si>
    <t xml:space="preserve"> 
Compressa de gaze, medindo 10 x 15 cm, confeccionada com fios 8, 100% algodão hidrófilo, pacote c/ 10 unidades.</t>
  </si>
  <si>
    <t>Compressa de gaze, medindo 7,5 x 7,5 cm, 13 fios com 8 dobras confeccionada com fios 100% algodão hidrófilo, pacote c/ 10 unidades.</t>
  </si>
  <si>
    <t>Esparadrapo impermeável branco 10cm Altura x 4,5m de comprimento</t>
  </si>
  <si>
    <t>Frascos de solução fisiológico 0,9 % de 250 ml Normas técnicas: registro no Ministério da Saúde. Constar na embalagem do produto informações: composição, fabricante, número do lote, data de fabricação, validade, entre outras. Lacre inviolado.</t>
  </si>
  <si>
    <t>Luva de látex para procedimento hospitalar, descartável alta  sensibilidades tátil, boa elasticidade e resistência. Caixa c/ 100, Tamanho G</t>
  </si>
  <si>
    <t>Luva de látex para procedimento hospitalar, descartável alta  sensibilidades tátil, boa elasticidade e resistência. Caixa c/ 100, Tamanho M</t>
  </si>
  <si>
    <t>Plástico protetor de queimaduras e eviscerações  - esterilizado altura: 100 cm - Largura: 100 cm. Atóxico. Transparente.</t>
  </si>
  <si>
    <t>Plástico protetor de queimaduras e eviscerações, de 50 mm x 50mm em pacote de 10 unidades- esterilizado</t>
  </si>
  <si>
    <t>1.26</t>
  </si>
  <si>
    <t>Termometro Digital Infravermelho Clinico (Axilar)</t>
  </si>
  <si>
    <t>1.27</t>
  </si>
  <si>
    <t xml:space="preserve"> 
Termômetro Infravermelho Digital S/ Contato (Tipo Pistola)</t>
  </si>
  <si>
    <t>1.28</t>
  </si>
  <si>
    <t xml:space="preserve"> 
Tesoura sem ponta reta, confeccionada em aço inox, medindo 10 cm de comprimento</t>
  </si>
  <si>
    <t>Torniquete Tático (Cor Laranja)</t>
  </si>
  <si>
    <t>Bandagens triangulares (142 cm x 100 cm x 100 cm)</t>
  </si>
  <si>
    <t xml:space="preserve"> Equipamentos de segurança e salvamento</t>
  </si>
  <si>
    <t>Aparelho Respiração Autônoma C/ Cilindro Fibra Carbono 6.8l</t>
  </si>
  <si>
    <t>Fita Adesiva Crepe 18mm X 50m</t>
  </si>
  <si>
    <t>Fita demarcação amarela 45mm x 45 m</t>
  </si>
  <si>
    <t>Fita demarcação vermelha 45mm x 45 m</t>
  </si>
  <si>
    <t>Fita Durex 45mm x 45 m</t>
  </si>
  <si>
    <t>Fita Dupla Face 3M</t>
  </si>
  <si>
    <t>Fita plástica zebrada sem adesivo, amarela e preta para isolamento de área. Rolo com 200 metros, largura de 70 mm.</t>
  </si>
  <si>
    <t>Óculos de proteção resistente a impactos, choques físicos de materiais sólidos e líquidos como: fragmentos de madeira, ferro, respingos de produtos ácidos, cáusticos, entre outros, armação e haste regulável fixa na armação por pinos metálicos, proteção contra riscos, proteção lateral injetada na mesma peça</t>
  </si>
  <si>
    <t xml:space="preserve">Megafone com potência de Potência de saída de som: 250Watts P.M.P.0., Feito de plástico ABS de alta resistência, Entrada USB / SD / MMC,Resistente à água,Bateria de lítio recarregável e também pode operar com 8 pilhas tipo C de 1,5 Volts,Punho ergonômico,Microfone integrado,Entrada AUX, Controle de volume ajustável, Gravador de voz, Alcance máximo: 400 a 500 metros. </t>
  </si>
  <si>
    <t>3.0</t>
  </si>
  <si>
    <t>Equipamentos de Proteção Individual (EPI’s)</t>
  </si>
  <si>
    <t>3.1</t>
  </si>
  <si>
    <t>Capacete de segurança Tipo Montana sem aba com fita jugular de 3 pontos e sistema de ajuste total para uso em trabalhos em altura, resgate, arboricultura e escalada. Com certificação do Inmetro.</t>
  </si>
  <si>
    <t>3.2</t>
  </si>
  <si>
    <t>Capas de aproximação completas: calça e Jaqueta de  combate a incêndio confeccionado com modelagem tradicional, confeccionado dentro das exigências normativas do TEM; Calça para combate a incêndio modelo  EN versão Advance; Confeccionado com a camada externa em tecido Thermex EN-R com  93% meta aramida 5% para aramida e 2% anti estático  construído com tecnologia no sistema para rasgo (ripstop) barreira de umidade bi componente de poliuretano respirável com aramida/melamina e barreira térmica dupla em tecido de aramida com viscose FR feltro de aramida; Confeccionado dentro das exigências normativas do MTE, TAmanho Grande.</t>
  </si>
  <si>
    <t>3.3</t>
  </si>
  <si>
    <t>Capas de aproximação completas: calça e Jaqueta de  combate a incêndio confeccionado com modelagem tradicional, confeccionado dentro das exigências normativas do MTE, oferece proteção efetiva e custo competitivo. Calça para combate a incêndio modelo  EN versão Advance; Confeccionado com a camada externa em tecido Thermex EN-R com  93% meta aramida 5% para aramida e 2% anti estático  construído com tecnologia no sistema para rasgo (ripstop) barreira de umidade bi componente de poliuretano respirável com aramida/melamina e barreira térmica dupla em tecido de aramida com viscose FR feltro de aramida; Confeccionado dentro das exigências normativas do MTE, Tamanho Extra Grande</t>
  </si>
  <si>
    <t>3.4</t>
  </si>
  <si>
    <t>Lanterna recarregável de no mínimo 06 volts e 27 lâmpadas de LED</t>
  </si>
  <si>
    <t>3.5</t>
  </si>
  <si>
    <t>Luvas de couro (Tipo Vaqueta)</t>
  </si>
  <si>
    <t>3.6</t>
  </si>
  <si>
    <t>Protetor auditivo tipo haste, com espumas que vedam o canal auditivo dispensando inserção, haste única e flexível, mantém baixa pressão e se adapta a diferentes cabeças.</t>
  </si>
  <si>
    <t>Unit</t>
  </si>
  <si>
    <t>MÉDIA DO BANCO DE PREÇO</t>
  </si>
  <si>
    <t>Salário Normativo da Categoria Profissional/CCT-2024</t>
  </si>
  <si>
    <t>Data base da categoria (dia/mês/ano) - Vigência   01/01/2024 tdo  a 31/12/2024 e a data-base da categoria em 1º de janeiro.</t>
  </si>
  <si>
    <t>Data base da categoria (dia/mês/ano) - Vigência   01/01/2024 a 31/12/2024 e a data-base da categoria em 1º de janeiro.</t>
  </si>
  <si>
    <t>PE 26-2023 
PODER JUDICIARIO</t>
  </si>
  <si>
    <t>PE 03-2023
MINISTÉRIO DA CULTURA</t>
  </si>
  <si>
    <t>PE 30-2023
Conselho Federal de Medicina</t>
  </si>
  <si>
    <t>PE 26/2023
EMPRESA BRASIL DE COMUNICAÇÃO- EBC</t>
  </si>
  <si>
    <t>PE 03/2023
MINISTÉRIO DA CULTURA</t>
  </si>
  <si>
    <t>Preço Banco de preços (R$)</t>
  </si>
  <si>
    <t>Sites especializados</t>
  </si>
  <si>
    <t>Máscara cirúrgica descartável, formato retangular cor branca. 1 cx 50 und.</t>
  </si>
  <si>
    <r>
      <rPr>
        <b/>
        <sz val="8"/>
        <color rgb="FF000000"/>
        <rFont val="Calibri Light"/>
        <family val="2"/>
        <scheme val="major"/>
      </rP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 no art. 121, § 3º da Lei nº 14.133, de 01 de abril de 2021, a rubrica férias tem como objetivo principal suprir a necessidade do pagamento das férias remuneradas ao final do contrato de 12 meses. Esta rubrica, quando da prorrogação contratual, torna-se custo não renovável.</t>
    </r>
  </si>
  <si>
    <t xml:space="preserve">SITES ESPECIALIZADOS </t>
  </si>
  <si>
    <t>MÉDIA DOS PREÇOS</t>
  </si>
  <si>
    <t>EMPRESAS ESPECIALIZADAS</t>
  </si>
  <si>
    <t>VIPPIM 
CNPJ: 25.065.260/0001-76</t>
  </si>
  <si>
    <t>MÉDIA DOS VALORES</t>
  </si>
  <si>
    <t>Relógio de Ponto</t>
  </si>
  <si>
    <t>Sites Especializados</t>
  </si>
  <si>
    <t>DL 90001/2024
Hospital da Univerdade do Amapá</t>
  </si>
  <si>
    <t>PONTO AUTOMAÇÃO COMERCIAL</t>
  </si>
  <si>
    <t>BY PONTO</t>
  </si>
  <si>
    <t xml:space="preserve">PARA DADOS </t>
  </si>
  <si>
    <t>Unitário/Único</t>
  </si>
  <si>
    <t>Unitário</t>
  </si>
  <si>
    <t>Anual</t>
  </si>
  <si>
    <r>
      <rPr>
        <b/>
        <sz val="10"/>
        <color theme="1"/>
        <rFont val="Calibri"/>
        <family val="2"/>
        <scheme val="minor"/>
      </rPr>
      <t>Relógio de Ponto Biométrico</t>
    </r>
    <r>
      <rPr>
        <sz val="10"/>
        <color theme="1"/>
        <rFont val="Calibri"/>
        <family val="2"/>
        <scheme val="minor"/>
      </rPr>
      <t xml:space="preserve">  Control iD Class (Biometria, senha + TCP-IP) REP iDClass - incluso software para controle do ponto, treinamento, instalação, configuração do equipamento e bobina de papel. Homologado pelo Ministério do Trabalho e Emprego, segundo normas da Portaria 1510/2009. </t>
    </r>
  </si>
  <si>
    <t>Valor Mensal por Empregado (14)</t>
  </si>
  <si>
    <t>Materias Sob Demanda</t>
  </si>
  <si>
    <t>REAL JG 
CNPJ: 07.478.593/001-20</t>
  </si>
  <si>
    <t>5 ESTRELAS 
CNPJ: 07.345.040/001-35</t>
  </si>
  <si>
    <t>2024 - CCT/SINDBOMBEIROS-DF/SEAC-DF</t>
  </si>
  <si>
    <t>VALOR TOTAL MATERIAS SOB DEMANDA</t>
  </si>
  <si>
    <t>VALOR TOTAL POR BRIGADISTA</t>
  </si>
  <si>
    <t>VALOR MENSAL</t>
  </si>
  <si>
    <r>
      <t xml:space="preserve">Adicional Noturno (CLÁUSULA QUADRAGÉSIMA) - </t>
    </r>
    <r>
      <rPr>
        <b/>
        <sz val="9"/>
        <color theme="1"/>
        <rFont val="Calibri Light"/>
        <family val="2"/>
        <scheme val="major"/>
      </rPr>
      <t xml:space="preserve">Cálculo = [Valor Hora = ((Salário Mensal + Adicional de Periculosidade) : 180hs(36hs x 5semanas)) x  Qtd.horas((22:00 às 5:00hs = 7 hs x 1,1428571 hs (Coeficente de Conversão Hora Noturna)) x (Alíquota Adicional Noturno = 22,5%) x (qtd.dias = 15))                                  </t>
    </r>
    <r>
      <rPr>
        <b/>
        <i/>
        <sz val="9"/>
        <color theme="1"/>
        <rFont val="Calibri Light"/>
        <family val="2"/>
        <scheme val="major"/>
      </rPr>
      <t>(Hora noturna = 52 minutos e 30 segundos)]</t>
    </r>
  </si>
  <si>
    <r>
      <t xml:space="preserve">Adicional de Periculosidade   -   CLAUSULA DÉCIMA PRIMEIRA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</si>
  <si>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((R$ 5,50)x2x15 dias) - 6% Salário Base  - Itinerário: Cidade Satélite/Estação Rodoviária P.P/Esplanada - Vice-versa - </t>
    </r>
    <r>
      <rPr>
        <sz val="8"/>
        <color theme="1"/>
        <rFont val="Calibri Light"/>
        <family val="2"/>
        <scheme val="major"/>
      </rPr>
      <t>CLÁUSULA DÉCIMA TERCEIRA</t>
    </r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</si>
  <si>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QUARTA - PLANO AMBULATORIAL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</si>
  <si>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R$45,23x15 dias efetivamente trabalhados) - </t>
    </r>
    <r>
      <rPr>
        <sz val="8"/>
        <color theme="1"/>
        <rFont val="Calibri Light"/>
        <family val="2"/>
        <scheme val="major"/>
      </rPr>
      <t>CLÁUSULA DÉCIMA SEGUNDA</t>
    </r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</si>
  <si>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DÉCIMA QUINTA</t>
    </r>
  </si>
  <si>
    <r>
      <t xml:space="preserve">Seguro de Vida e Assistência Funeral - </t>
    </r>
    <r>
      <rPr>
        <sz val="9"/>
        <color theme="1"/>
        <rFont val="Calibri Light"/>
        <family val="2"/>
        <scheme val="major"/>
      </rPr>
      <t>CLAUSULA DÉCIMA SEXTA</t>
    </r>
  </si>
  <si>
    <r>
      <t xml:space="preserve">Adicional de Periculosidade   -            CLAUSULA DÉCIMA PRIMEIRA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</si>
  <si>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((R$ 5,50)x2x15 dias) - 6% Salário Base  - Itinerário: Cidade Satélite/Estação Rodoviária P.P/Esplanada - Vice-versa -  CLÁUSULA DÉCIMA TERCEIRA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</si>
  <si>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R$45,23x15 dias efetivamente trabalhados) -  CLÁUSULA DÉCIMA SEGUNDA</t>
    </r>
  </si>
  <si>
    <r>
      <t>Auxílio Saúde - CLÁUSULA DÉCIMA QUARTA</t>
    </r>
    <r>
      <rPr>
        <sz val="8"/>
        <color theme="1"/>
        <rFont val="Calibri Light"/>
        <family val="2"/>
        <scheme val="major"/>
      </rPr>
      <t xml:space="preserve"> - PLANO AMBULATORIAL</t>
    </r>
  </si>
  <si>
    <r>
      <t xml:space="preserve">Seguro de Vida e Assistência Funeral - </t>
    </r>
    <r>
      <rPr>
        <sz val="10"/>
        <color theme="1"/>
        <rFont val="Calibri Light"/>
        <family val="2"/>
        <scheme val="major"/>
      </rPr>
      <t xml:space="preserve"> CLAUSULA DÉCIMA SEXTA</t>
    </r>
  </si>
  <si>
    <r>
      <t xml:space="preserve">Adicional de Periculosidade   -  CLAUSULA DÉCIMA PRIMEIRA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</si>
  <si>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R$36,00x15 dias efetivamente trabalhados) -CLÁUSULA DÉCIMA SEGUNDA</t>
    </r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</si>
  <si>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((R$ 5,50)x2x15 dias) - 6% Salário Base  - Itinerário: Cidade Satélite/Estação Rodoviária P.P/Esplanada - Vice-versa - CLÁUSULA DÉCIMA TERCEIRA</t>
    </r>
  </si>
  <si>
    <r>
      <t>Auxílio Saúde - CLÁUSULA DÉCIMA QUARTA</t>
    </r>
    <r>
      <rPr>
        <sz val="8"/>
        <color theme="1"/>
        <rFont val="Calibri Light"/>
        <family val="2"/>
        <scheme val="major"/>
      </rPr>
      <t>- PLANO AMBULATORIAL</t>
    </r>
  </si>
  <si>
    <t>Seguro de Vida e Assistência Funeral - - CLAUSULA DÉCIMA SEXTA</t>
  </si>
  <si>
    <t xml:space="preserve">Unidade de Medida </t>
  </si>
  <si>
    <t xml:space="preserve">Quantidade Anual </t>
  </si>
  <si>
    <t>Equipamentos de primeiros socorros</t>
  </si>
  <si>
    <t xml:space="preserve"> Oxímetros  de dedo digital, portátil, visor de LCD, com capa e pilha</t>
  </si>
  <si>
    <t>Unidade</t>
  </si>
  <si>
    <t xml:space="preserve">Desfibrilador Externo Automático - DEA (ressuscitador) com pás eletrodos, com indicadores em LED, bateria, com estojo em regime de comodato com o MME. </t>
  </si>
  <si>
    <t>Aparelho PA (Pressão arterial) Digital com manguito, tipo de mesa, com estojo.</t>
  </si>
  <si>
    <t xml:space="preserve">Aparelho PA (Pressão arterial) Digital automático de pulso </t>
  </si>
  <si>
    <r>
      <t xml:space="preserve">Detector de Fuga de Gás Combustível - (GN/GLP/GNV)
</t>
    </r>
    <r>
      <rPr>
        <b/>
        <sz val="10"/>
        <rFont val="Calibri"/>
        <family val="2"/>
        <scheme val="minor"/>
      </rPr>
      <t>CARACTERÍSTICAS:</t>
    </r>
    <r>
      <rPr>
        <sz val="10"/>
        <rFont val="Calibri"/>
        <family val="2"/>
        <scheme val="minor"/>
      </rPr>
      <t xml:space="preserve">
• Indicação de presença de gás luminosa e sonora
• Sensibilidade: 50ppm Metano
• Tempo de aquecimento: aprox. 60 segundos
• Tempo de resposta: 2 segundos
• Temperatura de Operação: 0°C ~ 50°C (32°F ~120°F)
• Umidade Relativa: 10 ~90% RH
• Comprimento do sensor: 16 polegadas
• Conector de fone de ouvido mono
• Alimentação: 3 baterias (tipo C)LR14 1.5V (8hs de
uso contínuo)
• Dimensões: 76 x 49 x 220mm
• Peso: Aprox. 440 Gramas
</t>
    </r>
    <r>
      <rPr>
        <b/>
        <sz val="10"/>
        <rFont val="Calibri"/>
        <family val="2"/>
        <scheme val="minor"/>
      </rPr>
      <t>GASES DETECTÁVEIS</t>
    </r>
    <r>
      <rPr>
        <sz val="10"/>
        <rFont val="Calibri"/>
        <family val="2"/>
        <scheme val="minor"/>
      </rPr>
      <t xml:space="preserve">
• Gás natural • Propano • Butano • Metano • Propanol
• Etanol • Amônia • Vapor • CO • Gasolina
• Combustível Pulverizado • Hidrogênio sulfurado 
• Fumaça
• Solvente Industrial • Tinta fresca • Nafta</t>
    </r>
  </si>
  <si>
    <r>
      <rPr>
        <b/>
        <sz val="10"/>
        <rFont val="Calibri"/>
        <family val="2"/>
        <scheme val="minor"/>
      </rPr>
      <t>Decibelímetro Digital com Registro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Especificações:</t>
    </r>
    <r>
      <rPr>
        <sz val="10"/>
        <rFont val="Calibri"/>
        <family val="2"/>
        <scheme val="minor"/>
      </rPr>
      <t xml:space="preserve">
Faixa de medição: 30 a 130 dB
Escalas: baixa- 30 a 90 dB média - 50 a 110 dB alta - 70 a
130 dB automática - 30 a 130 dB
Resolução: 0.1dB
Exatidão: ± 1.5dB
Faixa de frequência: 31.5 a 8000 Hz
Ponderação em frequência: A (dBA) / C (dBC)
Ponderação no tempo: FAST (125ms) / SLOW (1s)
Taxa de atualização (visor LCD): 2 vezes / segundo
Memória: 32000 registros
Desligamento automático por inatividade: 20 minutos
Temperatura de operação: 0 a 50 °C
Umidade de operação: 10 a 90 %UR (sem condensação)
Alimentação: 9Vdc (1 bateria 6LR61 ou adaptador AC/DC)
Dimensões (LxAxP): 58 x 215 x 33 mm
Peso: 250g (com bateria)
</t>
    </r>
    <r>
      <rPr>
        <b/>
        <sz val="10"/>
        <rFont val="Calibri"/>
        <family val="2"/>
        <scheme val="minor"/>
      </rPr>
      <t>Funções adicionais:</t>
    </r>
    <r>
      <rPr>
        <sz val="10"/>
        <rFont val="Calibri"/>
        <family val="2"/>
        <scheme val="minor"/>
      </rPr>
      <t xml:space="preserve">
- Congelamento das medições máxima ou mínima
- Congelamento da leitura no visor (HOLD)
- Iluminação do visor (Backlight)
- Barra gráfica digital
- Função alarme (através do programa de registros)
- Saída analógica AC/DC (ACMAX = 4Vrms / DC = 10mV/dB)
- Microfone condensador de eletreto de 1/2" (removível)
- Em conformidade com: IEC61672-1 Classe 2
- Indicação de bateria fraca</t>
    </r>
  </si>
  <si>
    <t>Materiais / Equipamentos Operacionais</t>
  </si>
  <si>
    <t xml:space="preserve"> Rádio de comunicação HT (Hand-Talk = rádio de mão) /Nextel ou similar, licenciados junto a ANATEL Faixa De Frequência VHF [136-174 MHz] - UHF [403-470 MHz / 450-527 MHz] Capacidade De Canais 16 canais Características De Desempenho Vida Útil Da Bateria (Média) 18 horas Tipo Químico De Bateria Padrão Lítio ionizado Banda De Freqüência VHF/UHF Dimensões Do Rádio 127,7mm [Altura] x 61,5mm [Largura] x 42,0mm [Profundidade]</t>
  </si>
  <si>
    <t>Bastão de Ronda com tecnologia de tempo real, com estojo de
proteção, bateria.</t>
  </si>
  <si>
    <t>Button com placa metálica para colocação em ponto de ronda,
com adesivos e ou parafusos para fixação.</t>
  </si>
  <si>
    <t>Base Coletora USB para descarga dos dados, com cabo de
comunicação USB,manual de instalação e mídia com o software
para capturar dados dosbastões e gerar relatórios de rondas;</t>
  </si>
  <si>
    <t>TOTAL GERAL ( 36 meses)</t>
  </si>
  <si>
    <t>TOTAL GERAL MENSAL E ANUAL ( 12 meses)</t>
  </si>
  <si>
    <t>DL 90063/2024
JUSTICA FEDERAL DE 1A. INSTANCIA/AM</t>
  </si>
  <si>
    <t>DL 90007/2024
CONSELHO REGIONAL DE FARMACIA DO CEARA</t>
  </si>
  <si>
    <t>DL 90006-2024  INSTITUTO DE PESQUISAS DA MARINHA</t>
  </si>
  <si>
    <t>DL 90001/2024
HOSPITAL UNIV DA UNIVERSIDADE FEDERAL AMAPA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</si>
</sst>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0.000%"/>
    <numFmt numFmtId="167" formatCode="#,##0.00_ ;\-#,##0.00\ "/>
    <numFmt numFmtId="168" formatCode="&quot;R$&quot;#,##0.00"/>
  </numFmts>
  <fonts count="5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Arial"/>
      <family val="2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trike/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trike/>
      <sz val="10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b/>
      <sz val="8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sz val="10"/>
      <name val="Arial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rgb="FF000000"/>
      <name val="Calibri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2309E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indexed="64"/>
      </right>
      <top style="double">
        <color indexed="64"/>
      </top>
      <bottom style="double">
        <color rgb="FF3F3F3F"/>
      </bottom>
      <diagonal/>
    </border>
    <border>
      <left style="double">
        <color indexed="64"/>
      </left>
      <right style="double">
        <color indexed="64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double">
        <color rgb="FF3F3F3F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3F3F3F"/>
      </left>
      <right/>
      <top style="thin">
        <color indexed="64"/>
      </top>
      <bottom style="double">
        <color rgb="FF3F3F3F"/>
      </bottom>
      <diagonal/>
    </border>
    <border>
      <left style="double">
        <color rgb="FF3F3F3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4" fillId="0" borderId="0"/>
    <xf numFmtId="43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7" fillId="15" borderId="12" applyNumberFormat="0" applyAlignment="0" applyProtection="0"/>
    <xf numFmtId="0" fontId="2" fillId="16" borderId="0" applyNumberFormat="0" applyBorder="0" applyAlignment="0" applyProtection="0"/>
    <xf numFmtId="44" fontId="2" fillId="0" borderId="0" applyFont="0" applyFill="0" applyBorder="0" applyAlignment="0" applyProtection="0"/>
  </cellStyleXfs>
  <cellXfs count="474">
    <xf numFmtId="0" fontId="0" fillId="0" borderId="0" xfId="0"/>
    <xf numFmtId="0" fontId="7" fillId="0" borderId="0" xfId="0" applyFont="1"/>
    <xf numFmtId="0" fontId="10" fillId="2" borderId="1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6" fillId="2" borderId="0" xfId="2" applyFont="1" applyFill="1" applyAlignment="1">
      <alignment wrapText="1"/>
    </xf>
    <xf numFmtId="0" fontId="6" fillId="2" borderId="1" xfId="2" applyFont="1" applyFill="1" applyBorder="1" applyAlignment="1">
      <alignment wrapText="1"/>
    </xf>
    <xf numFmtId="0" fontId="6" fillId="2" borderId="2" xfId="2" applyFont="1" applyFill="1" applyBorder="1" applyAlignment="1">
      <alignment wrapText="1"/>
    </xf>
    <xf numFmtId="0" fontId="6" fillId="2" borderId="3" xfId="2" applyFont="1" applyFill="1" applyBorder="1" applyAlignment="1">
      <alignment wrapText="1"/>
    </xf>
    <xf numFmtId="4" fontId="8" fillId="3" borderId="4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8" fillId="3" borderId="4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10" fontId="10" fillId="2" borderId="4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center" wrapText="1"/>
    </xf>
    <xf numFmtId="10" fontId="8" fillId="2" borderId="2" xfId="2" applyNumberFormat="1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vertical="center" wrapText="1"/>
    </xf>
    <xf numFmtId="0" fontId="16" fillId="0" borderId="4" xfId="2" applyFont="1" applyBorder="1" applyAlignment="1">
      <alignment wrapText="1"/>
    </xf>
    <xf numFmtId="0" fontId="6" fillId="0" borderId="4" xfId="2" applyFont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10" fontId="8" fillId="3" borderId="4" xfId="2" applyNumberFormat="1" applyFont="1" applyFill="1" applyBorder="1" applyAlignment="1">
      <alignment horizontal="center" wrapText="1"/>
    </xf>
    <xf numFmtId="0" fontId="8" fillId="2" borderId="1" xfId="2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0" fontId="8" fillId="2" borderId="3" xfId="2" applyFont="1" applyFill="1" applyBorder="1" applyAlignment="1">
      <alignment vertical="center" wrapText="1"/>
    </xf>
    <xf numFmtId="0" fontId="6" fillId="2" borderId="4" xfId="2" applyFont="1" applyFill="1" applyBorder="1" applyAlignment="1">
      <alignment wrapText="1"/>
    </xf>
    <xf numFmtId="4" fontId="8" fillId="2" borderId="4" xfId="2" applyNumberFormat="1" applyFont="1" applyFill="1" applyBorder="1" applyAlignment="1">
      <alignment horizontal="right" wrapText="1"/>
    </xf>
    <xf numFmtId="0" fontId="8" fillId="0" borderId="4" xfId="2" applyFont="1" applyBorder="1" applyAlignment="1">
      <alignment vertical="center" wrapText="1"/>
    </xf>
    <xf numFmtId="4" fontId="8" fillId="2" borderId="4" xfId="2" applyNumberFormat="1" applyFont="1" applyFill="1" applyBorder="1" applyAlignment="1">
      <alignment horizontal="center" vertical="center" wrapText="1"/>
    </xf>
    <xf numFmtId="0" fontId="7" fillId="2" borderId="0" xfId="2" applyFont="1" applyFill="1" applyAlignment="1">
      <alignment wrapText="1"/>
    </xf>
    <xf numFmtId="4" fontId="8" fillId="2" borderId="3" xfId="2" applyNumberFormat="1" applyFont="1" applyFill="1" applyBorder="1" applyAlignment="1">
      <alignment horizontal="right" wrapText="1"/>
    </xf>
    <xf numFmtId="4" fontId="8" fillId="2" borderId="4" xfId="2" applyNumberFormat="1" applyFont="1" applyFill="1" applyBorder="1" applyAlignment="1">
      <alignment horizontal="center" wrapText="1"/>
    </xf>
    <xf numFmtId="4" fontId="8" fillId="3" borderId="9" xfId="2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167" fontId="8" fillId="2" borderId="4" xfId="2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7" fontId="8" fillId="3" borderId="4" xfId="2" applyNumberFormat="1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4" fontId="6" fillId="5" borderId="4" xfId="2" applyNumberFormat="1" applyFont="1" applyFill="1" applyBorder="1" applyAlignment="1">
      <alignment horizontal="center" vertical="center" wrapText="1"/>
    </xf>
    <xf numFmtId="10" fontId="10" fillId="5" borderId="4" xfId="2" applyNumberFormat="1" applyFont="1" applyFill="1" applyBorder="1" applyAlignment="1">
      <alignment horizontal="center" vertical="center" wrapText="1"/>
    </xf>
    <xf numFmtId="10" fontId="6" fillId="5" borderId="2" xfId="2" applyNumberFormat="1" applyFont="1" applyFill="1" applyBorder="1" applyAlignment="1">
      <alignment horizontal="center" vertical="center" wrapText="1"/>
    </xf>
    <xf numFmtId="4" fontId="6" fillId="5" borderId="4" xfId="2" applyNumberFormat="1" applyFont="1" applyFill="1" applyBorder="1" applyAlignment="1">
      <alignment horizontal="center" wrapText="1"/>
    </xf>
    <xf numFmtId="0" fontId="8" fillId="5" borderId="1" xfId="2" applyFont="1" applyFill="1" applyBorder="1" applyAlignment="1">
      <alignment vertical="center" wrapText="1"/>
    </xf>
    <xf numFmtId="10" fontId="8" fillId="5" borderId="4" xfId="2" applyNumberFormat="1" applyFont="1" applyFill="1" applyBorder="1" applyAlignment="1">
      <alignment horizontal="center" vertical="center" wrapText="1"/>
    </xf>
    <xf numFmtId="4" fontId="8" fillId="5" borderId="4" xfId="2" applyNumberFormat="1" applyFont="1" applyFill="1" applyBorder="1" applyAlignment="1">
      <alignment horizontal="center" wrapText="1"/>
    </xf>
    <xf numFmtId="0" fontId="8" fillId="5" borderId="4" xfId="2" applyFont="1" applyFill="1" applyBorder="1" applyAlignment="1">
      <alignment vertical="center" wrapText="1"/>
    </xf>
    <xf numFmtId="10" fontId="6" fillId="5" borderId="4" xfId="2" applyNumberFormat="1" applyFont="1" applyFill="1" applyBorder="1" applyAlignment="1">
      <alignment horizontal="center" vertical="center" wrapText="1"/>
    </xf>
    <xf numFmtId="4" fontId="8" fillId="5" borderId="4" xfId="2" applyNumberFormat="1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vertical="center" wrapText="1"/>
    </xf>
    <xf numFmtId="0" fontId="6" fillId="5" borderId="2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vertical="center" wrapText="1"/>
    </xf>
    <xf numFmtId="9" fontId="6" fillId="5" borderId="4" xfId="2" applyNumberFormat="1" applyFont="1" applyFill="1" applyBorder="1" applyAlignment="1">
      <alignment horizontal="center" vertical="center" wrapText="1"/>
    </xf>
    <xf numFmtId="9" fontId="18" fillId="5" borderId="4" xfId="2" applyNumberFormat="1" applyFont="1" applyFill="1" applyBorder="1" applyAlignment="1">
      <alignment horizontal="center" vertical="center" wrapText="1"/>
    </xf>
    <xf numFmtId="4" fontId="18" fillId="5" borderId="4" xfId="2" applyNumberFormat="1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center" vertical="center" wrapText="1"/>
    </xf>
    <xf numFmtId="9" fontId="8" fillId="5" borderId="4" xfId="2" applyNumberFormat="1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166" fontId="6" fillId="5" borderId="4" xfId="2" applyNumberFormat="1" applyFont="1" applyFill="1" applyBorder="1" applyAlignment="1">
      <alignment horizontal="center" vertical="center" wrapText="1"/>
    </xf>
    <xf numFmtId="166" fontId="6" fillId="5" borderId="1" xfId="2" applyNumberFormat="1" applyFont="1" applyFill="1" applyBorder="1" applyAlignment="1">
      <alignment horizontal="center" vertical="center" wrapText="1"/>
    </xf>
    <xf numFmtId="166" fontId="6" fillId="5" borderId="4" xfId="1" applyNumberFormat="1" applyFont="1" applyFill="1" applyBorder="1" applyAlignment="1">
      <alignment horizontal="center" vertical="center" wrapText="1"/>
    </xf>
    <xf numFmtId="0" fontId="16" fillId="5" borderId="1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wrapText="1"/>
    </xf>
    <xf numFmtId="4" fontId="8" fillId="5" borderId="4" xfId="2" applyNumberFormat="1" applyFont="1" applyFill="1" applyBorder="1" applyAlignment="1">
      <alignment horizontal="right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10" fontId="8" fillId="5" borderId="2" xfId="2" applyNumberFormat="1" applyFont="1" applyFill="1" applyBorder="1" applyAlignment="1">
      <alignment horizontal="center" vertical="center" wrapText="1"/>
    </xf>
    <xf numFmtId="4" fontId="8" fillId="5" borderId="3" xfId="2" applyNumberFormat="1" applyFont="1" applyFill="1" applyBorder="1" applyAlignment="1">
      <alignment horizontal="center" vertical="center" wrapText="1"/>
    </xf>
    <xf numFmtId="4" fontId="22" fillId="5" borderId="4" xfId="2" applyNumberFormat="1" applyFont="1" applyFill="1" applyBorder="1" applyAlignment="1">
      <alignment horizontal="center" vertical="center" wrapText="1"/>
    </xf>
    <xf numFmtId="0" fontId="24" fillId="0" borderId="0" xfId="3"/>
    <xf numFmtId="0" fontId="24" fillId="0" borderId="0" xfId="3" applyAlignment="1">
      <alignment horizontal="center" vertical="center"/>
    </xf>
    <xf numFmtId="0" fontId="1" fillId="0" borderId="0" xfId="2" applyFont="1" applyAlignment="1">
      <alignment horizontal="left"/>
    </xf>
    <xf numFmtId="0" fontId="2" fillId="0" borderId="0" xfId="2" applyAlignment="1">
      <alignment horizontal="left"/>
    </xf>
    <xf numFmtId="0" fontId="1" fillId="0" borderId="0" xfId="2" applyFont="1"/>
    <xf numFmtId="0" fontId="5" fillId="0" borderId="0" xfId="3" applyFont="1"/>
    <xf numFmtId="0" fontId="2" fillId="0" borderId="0" xfId="2"/>
    <xf numFmtId="0" fontId="2" fillId="0" borderId="0" xfId="2" applyAlignment="1">
      <alignment horizontal="center"/>
    </xf>
    <xf numFmtId="165" fontId="24" fillId="0" borderId="0" xfId="3" applyNumberFormat="1"/>
    <xf numFmtId="0" fontId="30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31" fillId="0" borderId="4" xfId="3" applyFont="1" applyBorder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9" fillId="0" borderId="4" xfId="0" applyFont="1" applyBorder="1" applyAlignment="1">
      <alignment horizontal="left" vertical="center" wrapText="1"/>
    </xf>
    <xf numFmtId="0" fontId="24" fillId="0" borderId="0" xfId="3" applyAlignment="1">
      <alignment horizontal="left"/>
    </xf>
    <xf numFmtId="4" fontId="30" fillId="8" borderId="4" xfId="0" applyNumberFormat="1" applyFont="1" applyFill="1" applyBorder="1" applyAlignment="1">
      <alignment horizontal="center" vertical="center" wrapText="1"/>
    </xf>
    <xf numFmtId="4" fontId="31" fillId="0" borderId="4" xfId="3" applyNumberFormat="1" applyFont="1" applyBorder="1" applyAlignment="1">
      <alignment horizontal="center" vertical="center"/>
    </xf>
    <xf numFmtId="0" fontId="25" fillId="0" borderId="4" xfId="3" applyFont="1" applyBorder="1" applyAlignment="1">
      <alignment horizontal="center" vertical="center"/>
    </xf>
    <xf numFmtId="4" fontId="33" fillId="0" borderId="4" xfId="3" applyNumberFormat="1" applyFont="1" applyBorder="1" applyAlignment="1">
      <alignment horizontal="center" vertical="center"/>
    </xf>
    <xf numFmtId="0" fontId="34" fillId="0" borderId="0" xfId="3" applyFont="1" applyAlignment="1">
      <alignment horizontal="center" vertical="center"/>
    </xf>
    <xf numFmtId="0" fontId="34" fillId="0" borderId="0" xfId="3" applyFont="1" applyAlignment="1">
      <alignment horizontal="center"/>
    </xf>
    <xf numFmtId="0" fontId="34" fillId="0" borderId="0" xfId="3" applyFont="1" applyAlignment="1">
      <alignment horizontal="left"/>
    </xf>
    <xf numFmtId="0" fontId="8" fillId="2" borderId="2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0" fontId="38" fillId="0" borderId="0" xfId="3" applyFont="1"/>
    <xf numFmtId="0" fontId="2" fillId="0" borderId="0" xfId="2" applyAlignment="1">
      <alignment horizontal="left" vertical="center"/>
    </xf>
    <xf numFmtId="0" fontId="26" fillId="0" borderId="0" xfId="2" applyFont="1" applyAlignment="1">
      <alignment horizontal="center" vertical="center" wrapText="1"/>
    </xf>
    <xf numFmtId="0" fontId="41" fillId="0" borderId="0" xfId="2" applyFont="1" applyAlignment="1">
      <alignment horizontal="center" vertical="center" wrapText="1"/>
    </xf>
    <xf numFmtId="0" fontId="39" fillId="6" borderId="4" xfId="3" applyFont="1" applyFill="1" applyBorder="1" applyAlignment="1">
      <alignment horizontal="center" vertical="center" wrapText="1"/>
    </xf>
    <xf numFmtId="0" fontId="37" fillId="0" borderId="4" xfId="3" applyFont="1" applyBorder="1" applyAlignment="1">
      <alignment horizontal="center" vertical="center" wrapText="1"/>
    </xf>
    <xf numFmtId="165" fontId="37" fillId="0" borderId="4" xfId="3" applyNumberFormat="1" applyFont="1" applyBorder="1" applyAlignment="1">
      <alignment vertical="center" wrapText="1"/>
    </xf>
    <xf numFmtId="4" fontId="37" fillId="0" borderId="4" xfId="3" applyNumberFormat="1" applyFont="1" applyBorder="1" applyAlignment="1">
      <alignment vertical="center" wrapText="1"/>
    </xf>
    <xf numFmtId="165" fontId="39" fillId="0" borderId="4" xfId="3" applyNumberFormat="1" applyFont="1" applyBorder="1" applyAlignment="1">
      <alignment vertical="center" wrapText="1"/>
    </xf>
    <xf numFmtId="0" fontId="37" fillId="0" borderId="0" xfId="3" applyFont="1" applyAlignment="1">
      <alignment horizontal="justify" vertical="center"/>
    </xf>
    <xf numFmtId="0" fontId="37" fillId="0" borderId="0" xfId="3" applyFont="1"/>
    <xf numFmtId="0" fontId="37" fillId="0" borderId="4" xfId="3" applyFont="1" applyBorder="1" applyAlignment="1">
      <alignment vertical="center" wrapText="1"/>
    </xf>
    <xf numFmtId="0" fontId="38" fillId="0" borderId="0" xfId="3" applyFont="1" applyAlignment="1">
      <alignment horizontal="left" vertical="center"/>
    </xf>
    <xf numFmtId="0" fontId="44" fillId="10" borderId="0" xfId="0" applyFont="1" applyFill="1" applyAlignment="1">
      <alignment horizontal="center" vertical="center" wrapText="1"/>
    </xf>
    <xf numFmtId="0" fontId="43" fillId="10" borderId="4" xfId="0" applyFont="1" applyFill="1" applyBorder="1" applyAlignment="1">
      <alignment horizontal="center" vertical="center" wrapText="1"/>
    </xf>
    <xf numFmtId="0" fontId="43" fillId="11" borderId="4" xfId="0" applyFont="1" applyFill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5" fillId="13" borderId="4" xfId="0" applyFont="1" applyFill="1" applyBorder="1" applyAlignment="1">
      <alignment horizontal="center" vertical="center" wrapText="1"/>
    </xf>
    <xf numFmtId="4" fontId="24" fillId="11" borderId="4" xfId="0" applyNumberFormat="1" applyFont="1" applyFill="1" applyBorder="1" applyAlignment="1">
      <alignment vertical="center" wrapText="1"/>
    </xf>
    <xf numFmtId="4" fontId="24" fillId="10" borderId="4" xfId="0" applyNumberFormat="1" applyFont="1" applyFill="1" applyBorder="1" applyAlignment="1">
      <alignment horizontal="center" vertical="center" wrapText="1"/>
    </xf>
    <xf numFmtId="10" fontId="45" fillId="10" borderId="4" xfId="5" applyNumberFormat="1" applyFont="1" applyFill="1" applyBorder="1" applyAlignment="1">
      <alignment horizontal="center" vertical="center" wrapText="1"/>
    </xf>
    <xf numFmtId="0" fontId="44" fillId="14" borderId="0" xfId="0" applyFont="1" applyFill="1" applyAlignment="1">
      <alignment horizontal="center" vertical="center" wrapText="1"/>
    </xf>
    <xf numFmtId="0" fontId="43" fillId="14" borderId="4" xfId="0" applyFont="1" applyFill="1" applyBorder="1" applyAlignment="1">
      <alignment horizontal="center" vertical="center" wrapText="1"/>
    </xf>
    <xf numFmtId="4" fontId="24" fillId="14" borderId="4" xfId="0" applyNumberFormat="1" applyFont="1" applyFill="1" applyBorder="1" applyAlignment="1">
      <alignment horizontal="center" vertical="center" wrapText="1"/>
    </xf>
    <xf numFmtId="10" fontId="24" fillId="14" borderId="4" xfId="0" applyNumberFormat="1" applyFont="1" applyFill="1" applyBorder="1" applyAlignment="1">
      <alignment vertical="center" wrapText="1"/>
    </xf>
    <xf numFmtId="4" fontId="24" fillId="11" borderId="4" xfId="0" applyNumberFormat="1" applyFont="1" applyFill="1" applyBorder="1" applyAlignment="1">
      <alignment horizontal="center" vertical="center" wrapText="1"/>
    </xf>
    <xf numFmtId="10" fontId="24" fillId="11" borderId="4" xfId="5" applyNumberFormat="1" applyFont="1" applyFill="1" applyBorder="1" applyAlignment="1">
      <alignment horizontal="center" vertical="center" wrapText="1"/>
    </xf>
    <xf numFmtId="4" fontId="46" fillId="2" borderId="4" xfId="0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vertical="center" wrapText="1"/>
    </xf>
    <xf numFmtId="9" fontId="6" fillId="2" borderId="4" xfId="2" applyNumberFormat="1" applyFont="1" applyFill="1" applyBorder="1" applyAlignment="1">
      <alignment horizontal="center" vertical="center" wrapText="1"/>
    </xf>
    <xf numFmtId="9" fontId="18" fillId="2" borderId="4" xfId="2" applyNumberFormat="1" applyFont="1" applyFill="1" applyBorder="1" applyAlignment="1">
      <alignment horizontal="center" vertical="center" wrapText="1"/>
    </xf>
    <xf numFmtId="4" fontId="18" fillId="2" borderId="4" xfId="2" applyNumberFormat="1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vertical="center" wrapText="1"/>
    </xf>
    <xf numFmtId="10" fontId="6" fillId="2" borderId="4" xfId="2" applyNumberFormat="1" applyFont="1" applyFill="1" applyBorder="1" applyAlignment="1">
      <alignment horizontal="center" vertical="center" wrapText="1"/>
    </xf>
    <xf numFmtId="10" fontId="8" fillId="2" borderId="4" xfId="2" applyNumberFormat="1" applyFont="1" applyFill="1" applyBorder="1" applyAlignment="1">
      <alignment horizontal="center" vertical="center" wrapText="1"/>
    </xf>
    <xf numFmtId="10" fontId="6" fillId="2" borderId="2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wrapText="1"/>
    </xf>
    <xf numFmtId="0" fontId="16" fillId="2" borderId="4" xfId="2" applyFont="1" applyFill="1" applyBorder="1" applyAlignment="1">
      <alignment wrapText="1"/>
    </xf>
    <xf numFmtId="166" fontId="6" fillId="2" borderId="4" xfId="2" applyNumberFormat="1" applyFont="1" applyFill="1" applyBorder="1" applyAlignment="1">
      <alignment horizontal="center" vertical="center" wrapText="1"/>
    </xf>
    <xf numFmtId="0" fontId="16" fillId="2" borderId="1" xfId="2" applyFont="1" applyFill="1" applyBorder="1" applyAlignment="1">
      <alignment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166" fontId="6" fillId="2" borderId="4" xfId="1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4" fontId="22" fillId="2" borderId="4" xfId="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5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vertical="center"/>
    </xf>
    <xf numFmtId="165" fontId="49" fillId="0" borderId="4" xfId="0" applyNumberFormat="1" applyFont="1" applyBorder="1" applyAlignment="1">
      <alignment vertical="center"/>
    </xf>
    <xf numFmtId="0" fontId="24" fillId="0" borderId="4" xfId="3" applyBorder="1" applyAlignment="1">
      <alignment horizontal="center" vertical="center"/>
    </xf>
    <xf numFmtId="164" fontId="37" fillId="0" borderId="4" xfId="3" applyNumberFormat="1" applyFont="1" applyBorder="1" applyAlignment="1">
      <alignment horizontal="center" vertical="center"/>
    </xf>
    <xf numFmtId="165" fontId="37" fillId="0" borderId="4" xfId="3" applyNumberFormat="1" applyFont="1" applyBorder="1" applyAlignment="1">
      <alignment horizontal="center" vertical="center"/>
    </xf>
    <xf numFmtId="165" fontId="38" fillId="0" borderId="4" xfId="0" applyNumberFormat="1" applyFont="1" applyBorder="1" applyAlignment="1">
      <alignment horizontal="center" vertical="center"/>
    </xf>
    <xf numFmtId="0" fontId="26" fillId="16" borderId="4" xfId="7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8" fillId="2" borderId="4" xfId="6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38" fillId="2" borderId="4" xfId="6" applyFont="1" applyFill="1" applyBorder="1" applyAlignment="1">
      <alignment horizontal="left" vertical="center" wrapText="1"/>
    </xf>
    <xf numFmtId="0" fontId="27" fillId="0" borderId="4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48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8" borderId="4" xfId="0" applyFill="1" applyBorder="1" applyAlignment="1">
      <alignment vertical="center" wrapText="1"/>
    </xf>
    <xf numFmtId="0" fontId="0" fillId="8" borderId="4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41" fillId="10" borderId="4" xfId="0" applyFont="1" applyFill="1" applyBorder="1" applyAlignment="1">
      <alignment horizontal="center" vertical="center" wrapText="1"/>
    </xf>
    <xf numFmtId="0" fontId="1" fillId="1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1" fillId="19" borderId="4" xfId="0" applyFont="1" applyFill="1" applyBorder="1" applyAlignment="1">
      <alignment horizontal="center" vertical="center" wrapText="1"/>
    </xf>
    <xf numFmtId="0" fontId="41" fillId="5" borderId="4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5" fontId="37" fillId="0" borderId="4" xfId="0" applyNumberFormat="1" applyFont="1" applyBorder="1" applyAlignment="1">
      <alignment horizontal="center" vertical="center" wrapText="1"/>
    </xf>
    <xf numFmtId="165" fontId="54" fillId="0" borderId="4" xfId="0" applyNumberFormat="1" applyFont="1" applyBorder="1" applyAlignment="1">
      <alignment horizontal="center" vertical="center" wrapText="1"/>
    </xf>
    <xf numFmtId="165" fontId="41" fillId="10" borderId="4" xfId="0" applyNumberFormat="1" applyFont="1" applyFill="1" applyBorder="1" applyAlignment="1">
      <alignment horizontal="center" vertical="center" wrapText="1"/>
    </xf>
    <xf numFmtId="4" fontId="41" fillId="1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41" fillId="10" borderId="4" xfId="0" applyFont="1" applyFill="1" applyBorder="1"/>
    <xf numFmtId="4" fontId="55" fillId="10" borderId="4" xfId="0" applyNumberFormat="1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vertical="center" wrapText="1"/>
    </xf>
    <xf numFmtId="0" fontId="6" fillId="3" borderId="4" xfId="2" applyFont="1" applyFill="1" applyBorder="1" applyAlignment="1">
      <alignment vertical="center" wrapText="1"/>
    </xf>
    <xf numFmtId="9" fontId="8" fillId="3" borderId="4" xfId="2" applyNumberFormat="1" applyFont="1" applyFill="1" applyBorder="1" applyAlignment="1">
      <alignment horizontal="center" vertical="center" wrapText="1"/>
    </xf>
    <xf numFmtId="9" fontId="6" fillId="3" borderId="4" xfId="2" applyNumberFormat="1" applyFont="1" applyFill="1" applyBorder="1" applyAlignment="1">
      <alignment horizontal="center" vertical="center" wrapText="1"/>
    </xf>
    <xf numFmtId="10" fontId="8" fillId="3" borderId="4" xfId="2" applyNumberFormat="1" applyFont="1" applyFill="1" applyBorder="1" applyAlignment="1">
      <alignment horizontal="center" vertical="center" wrapText="1"/>
    </xf>
    <xf numFmtId="10" fontId="6" fillId="8" borderId="2" xfId="2" applyNumberFormat="1" applyFont="1" applyFill="1" applyBorder="1" applyAlignment="1">
      <alignment horizontal="center" vertical="center" wrapText="1"/>
    </xf>
    <xf numFmtId="4" fontId="6" fillId="8" borderId="4" xfId="2" applyNumberFormat="1" applyFont="1" applyFill="1" applyBorder="1" applyAlignment="1">
      <alignment horizontal="center" wrapText="1"/>
    </xf>
    <xf numFmtId="4" fontId="8" fillId="3" borderId="4" xfId="2" applyNumberFormat="1" applyFont="1" applyFill="1" applyBorder="1" applyAlignment="1">
      <alignment horizontal="center" wrapText="1"/>
    </xf>
    <xf numFmtId="10" fontId="6" fillId="3" borderId="4" xfId="2" applyNumberFormat="1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wrapText="1"/>
    </xf>
    <xf numFmtId="4" fontId="6" fillId="3" borderId="4" xfId="2" applyNumberFormat="1" applyFont="1" applyFill="1" applyBorder="1" applyAlignment="1">
      <alignment horizontal="center" vertical="center" wrapText="1"/>
    </xf>
    <xf numFmtId="167" fontId="8" fillId="8" borderId="4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38" fillId="2" borderId="12" xfId="6" applyFont="1" applyFill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 wrapText="1"/>
    </xf>
    <xf numFmtId="0" fontId="26" fillId="16" borderId="18" xfId="7" applyFont="1" applyBorder="1" applyAlignment="1">
      <alignment horizontal="center" vertical="center" wrapText="1"/>
    </xf>
    <xf numFmtId="0" fontId="26" fillId="16" borderId="20" xfId="7" applyFont="1" applyBorder="1" applyAlignment="1">
      <alignment horizontal="center" vertical="center" wrapText="1"/>
    </xf>
    <xf numFmtId="0" fontId="38" fillId="2" borderId="22" xfId="6" applyFont="1" applyFill="1" applyBorder="1" applyAlignment="1">
      <alignment horizontal="center" vertical="center" wrapText="1"/>
    </xf>
    <xf numFmtId="0" fontId="37" fillId="2" borderId="23" xfId="6" applyFont="1" applyFill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/>
    </xf>
    <xf numFmtId="0" fontId="57" fillId="0" borderId="4" xfId="0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37" fillId="2" borderId="27" xfId="6" applyFont="1" applyFill="1" applyBorder="1" applyAlignment="1">
      <alignment horizontal="center" vertical="center" wrapText="1"/>
    </xf>
    <xf numFmtId="0" fontId="37" fillId="2" borderId="26" xfId="6" applyFont="1" applyFill="1" applyBorder="1" applyAlignment="1">
      <alignment horizontal="center" vertical="center" wrapText="1"/>
    </xf>
    <xf numFmtId="0" fontId="37" fillId="2" borderId="28" xfId="6" applyFont="1" applyFill="1" applyBorder="1" applyAlignment="1">
      <alignment horizontal="center" vertical="center" wrapText="1"/>
    </xf>
    <xf numFmtId="0" fontId="37" fillId="2" borderId="0" xfId="6" applyFont="1" applyFill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/>
    </xf>
    <xf numFmtId="0" fontId="57" fillId="0" borderId="29" xfId="0" applyFont="1" applyBorder="1" applyAlignment="1">
      <alignment horizontal="center" vertical="center"/>
    </xf>
    <xf numFmtId="0" fontId="37" fillId="2" borderId="1" xfId="6" applyFont="1" applyFill="1" applyBorder="1" applyAlignment="1">
      <alignment horizontal="center" vertical="center" wrapText="1"/>
    </xf>
    <xf numFmtId="0" fontId="37" fillId="2" borderId="21" xfId="6" applyFont="1" applyFill="1" applyBorder="1" applyAlignment="1">
      <alignment horizontal="center" vertical="center" wrapText="1"/>
    </xf>
    <xf numFmtId="0" fontId="37" fillId="2" borderId="4" xfId="6" applyFont="1" applyFill="1" applyBorder="1" applyAlignment="1">
      <alignment horizontal="center" vertical="center" wrapText="1"/>
    </xf>
    <xf numFmtId="0" fontId="57" fillId="0" borderId="30" xfId="0" applyFont="1" applyBorder="1" applyAlignment="1">
      <alignment horizontal="center" vertical="center"/>
    </xf>
    <xf numFmtId="0" fontId="37" fillId="2" borderId="25" xfId="6" applyFont="1" applyFill="1" applyBorder="1" applyAlignment="1">
      <alignment horizontal="center" vertical="center" wrapText="1"/>
    </xf>
    <xf numFmtId="0" fontId="37" fillId="2" borderId="24" xfId="6" applyFont="1" applyFill="1" applyBorder="1" applyAlignment="1">
      <alignment horizontal="center" vertical="center" wrapText="1"/>
    </xf>
    <xf numFmtId="0" fontId="37" fillId="2" borderId="31" xfId="6" applyFont="1" applyFill="1" applyBorder="1" applyAlignment="1">
      <alignment horizontal="center" vertical="center" wrapText="1"/>
    </xf>
    <xf numFmtId="0" fontId="37" fillId="2" borderId="32" xfId="6" applyFont="1" applyFill="1" applyBorder="1" applyAlignment="1">
      <alignment horizontal="center" vertical="center" wrapText="1"/>
    </xf>
    <xf numFmtId="0" fontId="37" fillId="2" borderId="19" xfId="6" applyFont="1" applyFill="1" applyBorder="1" applyAlignment="1">
      <alignment horizontal="center" vertical="center" wrapText="1"/>
    </xf>
    <xf numFmtId="0" fontId="37" fillId="2" borderId="20" xfId="6" applyFont="1" applyFill="1" applyBorder="1" applyAlignment="1">
      <alignment horizontal="center" vertical="center" wrapText="1"/>
    </xf>
    <xf numFmtId="0" fontId="57" fillId="0" borderId="33" xfId="0" applyFont="1" applyBorder="1" applyAlignment="1">
      <alignment horizontal="center" vertical="center"/>
    </xf>
    <xf numFmtId="0" fontId="57" fillId="0" borderId="2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37" fillId="2" borderId="22" xfId="6" applyFont="1" applyFill="1" applyBorder="1" applyAlignment="1">
      <alignment horizontal="center" vertical="center" wrapText="1"/>
    </xf>
    <xf numFmtId="168" fontId="37" fillId="0" borderId="0" xfId="3" applyNumberFormat="1" applyFont="1"/>
    <xf numFmtId="168" fontId="24" fillId="0" borderId="0" xfId="3" applyNumberFormat="1"/>
    <xf numFmtId="2" fontId="6" fillId="5" borderId="4" xfId="2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Alignment="1">
      <alignment horizontal="center" vertical="center"/>
    </xf>
    <xf numFmtId="4" fontId="7" fillId="8" borderId="0" xfId="0" applyNumberFormat="1" applyFont="1" applyFill="1" applyAlignment="1">
      <alignment horizontal="center"/>
    </xf>
    <xf numFmtId="0" fontId="37" fillId="0" borderId="0" xfId="3" applyFont="1" applyAlignment="1">
      <alignment vertical="center"/>
    </xf>
    <xf numFmtId="0" fontId="37" fillId="19" borderId="1" xfId="0" applyFont="1" applyFill="1" applyBorder="1" applyAlignment="1">
      <alignment horizontal="center" vertical="center" wrapText="1"/>
    </xf>
    <xf numFmtId="0" fontId="39" fillId="19" borderId="4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8" fillId="0" borderId="4" xfId="2" applyFont="1" applyBorder="1" applyAlignment="1">
      <alignment horizontal="justify" vertical="justify" wrapText="1"/>
    </xf>
    <xf numFmtId="0" fontId="7" fillId="2" borderId="4" xfId="2" applyFont="1" applyFill="1" applyBorder="1" applyAlignment="1">
      <alignment horizont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left" vertical="center" wrapText="1"/>
    </xf>
    <xf numFmtId="0" fontId="6" fillId="2" borderId="1" xfId="2" applyFont="1" applyFill="1" applyBorder="1" applyAlignment="1">
      <alignment vertical="center" wrapText="1"/>
    </xf>
    <xf numFmtId="0" fontId="6" fillId="2" borderId="2" xfId="2" applyFont="1" applyFill="1" applyBorder="1" applyAlignment="1">
      <alignment vertical="center" wrapText="1"/>
    </xf>
    <xf numFmtId="0" fontId="6" fillId="2" borderId="3" xfId="2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 wrapText="1"/>
    </xf>
    <xf numFmtId="14" fontId="7" fillId="2" borderId="3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8" fillId="0" borderId="3" xfId="2" applyFont="1" applyBorder="1" applyAlignment="1">
      <alignment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3" borderId="3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2" borderId="2" xfId="2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left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10" fillId="4" borderId="7" xfId="2" applyFont="1" applyFill="1" applyBorder="1" applyAlignment="1">
      <alignment horizontal="center" vertical="center" wrapText="1"/>
    </xf>
    <xf numFmtId="0" fontId="10" fillId="4" borderId="6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2" fillId="2" borderId="4" xfId="2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wrapText="1"/>
    </xf>
    <xf numFmtId="0" fontId="15" fillId="2" borderId="2" xfId="2" applyFont="1" applyFill="1" applyBorder="1" applyAlignment="1">
      <alignment horizontal="left" vertical="center" wrapText="1"/>
    </xf>
    <xf numFmtId="0" fontId="15" fillId="2" borderId="3" xfId="2" applyFont="1" applyFill="1" applyBorder="1" applyAlignment="1">
      <alignment horizontal="left" vertical="center" wrapText="1"/>
    </xf>
    <xf numFmtId="0" fontId="16" fillId="3" borderId="4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left"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6" fillId="5" borderId="3" xfId="2" applyFont="1" applyFill="1" applyBorder="1" applyAlignment="1">
      <alignment horizontal="left" vertical="center" wrapText="1"/>
    </xf>
    <xf numFmtId="165" fontId="8" fillId="5" borderId="1" xfId="2" applyNumberFormat="1" applyFont="1" applyFill="1" applyBorder="1" applyAlignment="1">
      <alignment horizontal="center" vertical="center" wrapText="1"/>
    </xf>
    <xf numFmtId="165" fontId="8" fillId="5" borderId="3" xfId="2" applyNumberFormat="1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3" xfId="2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left" vertical="center" wrapText="1"/>
    </xf>
    <xf numFmtId="14" fontId="6" fillId="5" borderId="1" xfId="2" applyNumberFormat="1" applyFont="1" applyFill="1" applyBorder="1" applyAlignment="1">
      <alignment horizontal="center" vertical="center" wrapText="1"/>
    </xf>
    <xf numFmtId="0" fontId="6" fillId="5" borderId="3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17" fillId="5" borderId="4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3" xfId="2" applyFont="1" applyBorder="1" applyAlignment="1">
      <alignment horizontal="left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left" vertical="center" wrapText="1"/>
    </xf>
    <xf numFmtId="0" fontId="8" fillId="5" borderId="3" xfId="2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3" xfId="2" applyFont="1" applyFill="1" applyBorder="1" applyAlignment="1">
      <alignment horizontal="left" vertical="center" wrapText="1"/>
    </xf>
    <xf numFmtId="0" fontId="10" fillId="3" borderId="4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wrapText="1"/>
    </xf>
    <xf numFmtId="0" fontId="8" fillId="3" borderId="2" xfId="2" applyFont="1" applyFill="1" applyBorder="1" applyAlignment="1">
      <alignment horizontal="center" wrapText="1"/>
    </xf>
    <xf numFmtId="0" fontId="8" fillId="3" borderId="3" xfId="2" applyFont="1" applyFill="1" applyBorder="1" applyAlignment="1">
      <alignment horizontal="center" wrapText="1"/>
    </xf>
    <xf numFmtId="0" fontId="16" fillId="2" borderId="1" xfId="2" applyFont="1" applyFill="1" applyBorder="1" applyAlignment="1">
      <alignment horizontal="center" wrapText="1"/>
    </xf>
    <xf numFmtId="0" fontId="16" fillId="2" borderId="2" xfId="2" applyFont="1" applyFill="1" applyBorder="1" applyAlignment="1">
      <alignment horizontal="center" wrapText="1"/>
    </xf>
    <xf numFmtId="0" fontId="16" fillId="2" borderId="3" xfId="2" applyFont="1" applyFill="1" applyBorder="1" applyAlignment="1">
      <alignment horizont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6" fillId="3" borderId="3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center" wrapText="1"/>
    </xf>
    <xf numFmtId="0" fontId="15" fillId="5" borderId="1" xfId="2" applyFont="1" applyFill="1" applyBorder="1" applyAlignment="1">
      <alignment horizontal="lef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5" fillId="5" borderId="3" xfId="2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center" vertical="center" wrapText="1"/>
    </xf>
    <xf numFmtId="10" fontId="10" fillId="2" borderId="4" xfId="2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left" vertical="center" wrapText="1"/>
    </xf>
    <xf numFmtId="10" fontId="8" fillId="2" borderId="1" xfId="2" applyNumberFormat="1" applyFont="1" applyFill="1" applyBorder="1" applyAlignment="1">
      <alignment horizontal="center" vertical="center" wrapText="1"/>
    </xf>
    <xf numFmtId="10" fontId="8" fillId="2" borderId="3" xfId="2" applyNumberFormat="1" applyFont="1" applyFill="1" applyBorder="1" applyAlignment="1">
      <alignment horizontal="center" vertical="center" wrapText="1"/>
    </xf>
    <xf numFmtId="10" fontId="8" fillId="3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left" vertical="center" wrapText="1"/>
    </xf>
    <xf numFmtId="0" fontId="10" fillId="2" borderId="2" xfId="2" applyFont="1" applyFill="1" applyBorder="1" applyAlignment="1">
      <alignment horizontal="center" vertical="center" wrapText="1"/>
    </xf>
    <xf numFmtId="14" fontId="12" fillId="2" borderId="1" xfId="2" applyNumberFormat="1" applyFont="1" applyFill="1" applyBorder="1" applyAlignment="1">
      <alignment horizontal="center" vertical="center" wrapText="1"/>
    </xf>
    <xf numFmtId="14" fontId="12" fillId="2" borderId="3" xfId="2" applyNumberFormat="1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justify" vertical="justify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8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0" fontId="8" fillId="2" borderId="3" xfId="2" applyFont="1" applyFill="1" applyBorder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14" fontId="6" fillId="2" borderId="1" xfId="2" applyNumberFormat="1" applyFont="1" applyFill="1" applyBorder="1" applyAlignment="1">
      <alignment horizontal="center" vertical="center" wrapText="1"/>
    </xf>
    <xf numFmtId="0" fontId="17" fillId="3" borderId="4" xfId="2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6" fillId="8" borderId="1" xfId="2" applyFont="1" applyFill="1" applyBorder="1" applyAlignment="1">
      <alignment horizontal="left" vertical="center" wrapText="1"/>
    </xf>
    <xf numFmtId="0" fontId="6" fillId="8" borderId="2" xfId="2" applyFont="1" applyFill="1" applyBorder="1" applyAlignment="1">
      <alignment horizontal="left" vertical="center" wrapText="1"/>
    </xf>
    <xf numFmtId="0" fontId="6" fillId="8" borderId="3" xfId="2" applyFont="1" applyFill="1" applyBorder="1" applyAlignment="1">
      <alignment horizontal="left" vertical="center" wrapText="1"/>
    </xf>
    <xf numFmtId="0" fontId="24" fillId="0" borderId="4" xfId="3" applyBorder="1" applyAlignment="1">
      <alignment horizontal="center" vertical="center" wrapText="1"/>
    </xf>
    <xf numFmtId="0" fontId="24" fillId="0" borderId="4" xfId="3" applyBorder="1" applyAlignment="1">
      <alignment horizontal="center" vertical="center"/>
    </xf>
    <xf numFmtId="0" fontId="35" fillId="0" borderId="4" xfId="3" applyFont="1" applyBorder="1" applyAlignment="1">
      <alignment horizontal="center" vertical="center"/>
    </xf>
    <xf numFmtId="165" fontId="24" fillId="0" borderId="4" xfId="3" applyNumberFormat="1" applyBorder="1" applyAlignment="1">
      <alignment horizontal="center"/>
    </xf>
    <xf numFmtId="0" fontId="24" fillId="0" borderId="4" xfId="3" applyBorder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29" fillId="7" borderId="10" xfId="0" applyFont="1" applyFill="1" applyBorder="1" applyAlignment="1">
      <alignment horizontal="center" vertical="center" wrapText="1"/>
    </xf>
    <xf numFmtId="0" fontId="29" fillId="7" borderId="11" xfId="0" applyFont="1" applyFill="1" applyBorder="1" applyAlignment="1">
      <alignment horizontal="center" vertical="center" wrapText="1"/>
    </xf>
    <xf numFmtId="0" fontId="34" fillId="0" borderId="0" xfId="3" applyFont="1" applyAlignment="1">
      <alignment horizontal="left"/>
    </xf>
    <xf numFmtId="0" fontId="0" fillId="0" borderId="0" xfId="0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 wrapText="1"/>
    </xf>
    <xf numFmtId="0" fontId="40" fillId="2" borderId="4" xfId="6" applyFon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26" fillId="16" borderId="4" xfId="7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41" fillId="17" borderId="4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/>
    </xf>
    <xf numFmtId="0" fontId="53" fillId="0" borderId="2" xfId="0" applyFont="1" applyBorder="1" applyAlignment="1">
      <alignment horizontal="center"/>
    </xf>
    <xf numFmtId="0" fontId="53" fillId="0" borderId="3" xfId="0" applyFont="1" applyBorder="1" applyAlignment="1">
      <alignment horizontal="center"/>
    </xf>
    <xf numFmtId="0" fontId="41" fillId="17" borderId="1" xfId="0" applyFont="1" applyFill="1" applyBorder="1" applyAlignment="1">
      <alignment horizontal="center" vertical="center"/>
    </xf>
    <xf numFmtId="0" fontId="41" fillId="17" borderId="2" xfId="0" applyFont="1" applyFill="1" applyBorder="1" applyAlignment="1">
      <alignment horizontal="center" vertical="center"/>
    </xf>
    <xf numFmtId="0" fontId="41" fillId="17" borderId="3" xfId="0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36" fillId="3" borderId="2" xfId="0" applyFont="1" applyFill="1" applyBorder="1" applyAlignment="1">
      <alignment horizontal="center" vertical="center"/>
    </xf>
    <xf numFmtId="0" fontId="36" fillId="18" borderId="1" xfId="0" applyFont="1" applyFill="1" applyBorder="1" applyAlignment="1">
      <alignment horizontal="center" vertical="center"/>
    </xf>
    <xf numFmtId="0" fontId="36" fillId="18" borderId="2" xfId="0" applyFont="1" applyFill="1" applyBorder="1" applyAlignment="1">
      <alignment horizontal="center" vertical="center"/>
    </xf>
    <xf numFmtId="0" fontId="36" fillId="18" borderId="3" xfId="0" applyFont="1" applyFill="1" applyBorder="1" applyAlignment="1">
      <alignment horizontal="center" vertical="center"/>
    </xf>
    <xf numFmtId="0" fontId="41" fillId="10" borderId="4" xfId="0" applyFont="1" applyFill="1" applyBorder="1" applyAlignment="1">
      <alignment horizontal="center" vertical="center" wrapText="1"/>
    </xf>
    <xf numFmtId="44" fontId="37" fillId="0" borderId="6" xfId="8" applyFont="1" applyBorder="1" applyAlignment="1">
      <alignment horizontal="center" vertical="center"/>
    </xf>
    <xf numFmtId="0" fontId="39" fillId="8" borderId="13" xfId="3" applyFont="1" applyFill="1" applyBorder="1" applyAlignment="1">
      <alignment horizontal="center" vertical="center"/>
    </xf>
    <xf numFmtId="0" fontId="39" fillId="8" borderId="14" xfId="3" applyFont="1" applyFill="1" applyBorder="1" applyAlignment="1">
      <alignment horizontal="center" vertical="center"/>
    </xf>
    <xf numFmtId="0" fontId="39" fillId="8" borderId="9" xfId="3" applyFont="1" applyFill="1" applyBorder="1" applyAlignment="1">
      <alignment horizontal="center" vertical="center"/>
    </xf>
    <xf numFmtId="0" fontId="40" fillId="0" borderId="1" xfId="3" applyFont="1" applyBorder="1" applyAlignment="1">
      <alignment horizontal="center" vertical="center"/>
    </xf>
    <xf numFmtId="0" fontId="40" fillId="0" borderId="2" xfId="3" applyFont="1" applyBorder="1" applyAlignment="1">
      <alignment horizontal="center" vertical="center"/>
    </xf>
    <xf numFmtId="0" fontId="40" fillId="0" borderId="3" xfId="3" applyFont="1" applyBorder="1" applyAlignment="1">
      <alignment horizontal="center" vertical="center"/>
    </xf>
    <xf numFmtId="0" fontId="39" fillId="0" borderId="4" xfId="3" applyFont="1" applyBorder="1" applyAlignment="1">
      <alignment horizontal="center" vertical="center"/>
    </xf>
    <xf numFmtId="165" fontId="39" fillId="0" borderId="1" xfId="3" applyNumberFormat="1" applyFont="1" applyBorder="1" applyAlignment="1">
      <alignment horizontal="center"/>
    </xf>
    <xf numFmtId="165" fontId="39" fillId="0" borderId="3" xfId="3" applyNumberFormat="1" applyFont="1" applyBorder="1" applyAlignment="1">
      <alignment horizontal="center"/>
    </xf>
    <xf numFmtId="0" fontId="39" fillId="0" borderId="1" xfId="3" applyFont="1" applyBorder="1" applyAlignment="1">
      <alignment horizontal="center" vertical="center"/>
    </xf>
    <xf numFmtId="0" fontId="39" fillId="0" borderId="3" xfId="3" applyFont="1" applyBorder="1" applyAlignment="1">
      <alignment horizontal="center" vertical="center"/>
    </xf>
    <xf numFmtId="165" fontId="39" fillId="0" borderId="1" xfId="3" applyNumberFormat="1" applyFont="1" applyBorder="1" applyAlignment="1">
      <alignment horizontal="center" vertical="center"/>
    </xf>
    <xf numFmtId="165" fontId="39" fillId="0" borderId="3" xfId="3" applyNumberFormat="1" applyFont="1" applyBorder="1" applyAlignment="1">
      <alignment horizontal="center" vertical="center"/>
    </xf>
    <xf numFmtId="165" fontId="24" fillId="8" borderId="4" xfId="3" applyNumberFormat="1" applyFill="1" applyBorder="1" applyAlignment="1">
      <alignment horizontal="center"/>
    </xf>
    <xf numFmtId="165" fontId="24" fillId="8" borderId="4" xfId="3" applyNumberFormat="1" applyFill="1" applyBorder="1" applyAlignment="1">
      <alignment horizontal="center" vertical="center"/>
    </xf>
    <xf numFmtId="165" fontId="24" fillId="20" borderId="1" xfId="3" applyNumberFormat="1" applyFill="1" applyBorder="1" applyAlignment="1">
      <alignment horizontal="center" vertical="center"/>
    </xf>
    <xf numFmtId="165" fontId="24" fillId="20" borderId="2" xfId="3" applyNumberFormat="1" applyFill="1" applyBorder="1" applyAlignment="1">
      <alignment horizontal="center" vertical="center"/>
    </xf>
    <xf numFmtId="165" fontId="24" fillId="20" borderId="3" xfId="3" applyNumberFormat="1" applyFill="1" applyBorder="1" applyAlignment="1">
      <alignment horizontal="center" vertical="center"/>
    </xf>
    <xf numFmtId="0" fontId="37" fillId="0" borderId="4" xfId="3" applyFont="1" applyBorder="1" applyAlignment="1">
      <alignment horizontal="left" vertical="center" wrapText="1"/>
    </xf>
    <xf numFmtId="165" fontId="39" fillId="0" borderId="1" xfId="3" applyNumberFormat="1" applyFont="1" applyBorder="1" applyAlignment="1">
      <alignment horizontal="center" vertical="center" wrapText="1"/>
    </xf>
    <xf numFmtId="165" fontId="39" fillId="0" borderId="3" xfId="3" applyNumberFormat="1" applyFont="1" applyBorder="1" applyAlignment="1">
      <alignment horizontal="center" vertical="center" wrapText="1"/>
    </xf>
    <xf numFmtId="165" fontId="37" fillId="0" borderId="1" xfId="3" applyNumberFormat="1" applyFont="1" applyBorder="1" applyAlignment="1">
      <alignment horizontal="left" vertical="center" wrapText="1"/>
    </xf>
    <xf numFmtId="165" fontId="37" fillId="0" borderId="2" xfId="3" applyNumberFormat="1" applyFont="1" applyBorder="1" applyAlignment="1">
      <alignment horizontal="left" vertical="center" wrapText="1"/>
    </xf>
    <xf numFmtId="165" fontId="37" fillId="0" borderId="3" xfId="3" applyNumberFormat="1" applyFont="1" applyBorder="1" applyAlignment="1">
      <alignment horizontal="left" vertical="center" wrapText="1"/>
    </xf>
    <xf numFmtId="4" fontId="37" fillId="0" borderId="4" xfId="3" applyNumberFormat="1" applyFont="1" applyBorder="1" applyAlignment="1">
      <alignment horizontal="center" vertical="center" wrapText="1"/>
    </xf>
    <xf numFmtId="4" fontId="39" fillId="0" borderId="4" xfId="3" applyNumberFormat="1" applyFont="1" applyBorder="1" applyAlignment="1">
      <alignment horizontal="center" vertical="center" wrapText="1"/>
    </xf>
    <xf numFmtId="0" fontId="37" fillId="0" borderId="4" xfId="3" applyFont="1" applyBorder="1" applyAlignment="1">
      <alignment horizontal="center"/>
    </xf>
    <xf numFmtId="0" fontId="37" fillId="0" borderId="1" xfId="3" applyFont="1" applyBorder="1" applyAlignment="1">
      <alignment horizontal="left" vertical="center" wrapText="1"/>
    </xf>
    <xf numFmtId="0" fontId="37" fillId="0" borderId="2" xfId="3" applyFont="1" applyBorder="1" applyAlignment="1">
      <alignment horizontal="left" vertical="center" wrapText="1"/>
    </xf>
    <xf numFmtId="0" fontId="37" fillId="0" borderId="3" xfId="3" applyFont="1" applyBorder="1" applyAlignment="1">
      <alignment horizontal="left" vertical="center" wrapText="1"/>
    </xf>
    <xf numFmtId="0" fontId="39" fillId="6" borderId="4" xfId="3" applyFont="1" applyFill="1" applyBorder="1" applyAlignment="1">
      <alignment horizontal="center" vertical="center" wrapText="1"/>
    </xf>
    <xf numFmtId="0" fontId="39" fillId="0" borderId="4" xfId="3" applyFont="1" applyBorder="1" applyAlignment="1">
      <alignment horizontal="center" vertical="center" wrapText="1"/>
    </xf>
    <xf numFmtId="0" fontId="40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2" fillId="0" borderId="0" xfId="2" applyAlignment="1">
      <alignment horizontal="left" vertical="center"/>
    </xf>
    <xf numFmtId="0" fontId="36" fillId="0" borderId="4" xfId="2" applyFont="1" applyBorder="1" applyAlignment="1">
      <alignment horizontal="center" vertical="center" wrapText="1"/>
    </xf>
    <xf numFmtId="0" fontId="40" fillId="0" borderId="4" xfId="3" applyFont="1" applyBorder="1" applyAlignment="1">
      <alignment horizontal="center" vertical="center" wrapText="1"/>
    </xf>
    <xf numFmtId="0" fontId="39" fillId="6" borderId="7" xfId="3" applyFont="1" applyFill="1" applyBorder="1" applyAlignment="1">
      <alignment horizontal="center" vertical="center" wrapText="1"/>
    </xf>
    <xf numFmtId="0" fontId="39" fillId="6" borderId="8" xfId="3" applyFont="1" applyFill="1" applyBorder="1" applyAlignment="1">
      <alignment horizontal="center" vertical="center" wrapText="1"/>
    </xf>
    <xf numFmtId="0" fontId="5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51" fillId="12" borderId="1" xfId="0" applyFont="1" applyFill="1" applyBorder="1" applyAlignment="1">
      <alignment horizontal="center" vertical="center" wrapText="1"/>
    </xf>
    <xf numFmtId="0" fontId="51" fillId="12" borderId="3" xfId="0" applyFont="1" applyFill="1" applyBorder="1" applyAlignment="1">
      <alignment horizontal="center" vertical="center" wrapText="1"/>
    </xf>
    <xf numFmtId="0" fontId="43" fillId="9" borderId="4" xfId="0" applyFont="1" applyFill="1" applyBorder="1" applyAlignment="1">
      <alignment horizontal="center" vertical="center" wrapText="1"/>
    </xf>
    <xf numFmtId="0" fontId="43" fillId="2" borderId="2" xfId="0" applyFont="1" applyFill="1" applyBorder="1" applyAlignment="1">
      <alignment horizontal="center" vertical="center"/>
    </xf>
    <xf numFmtId="0" fontId="43" fillId="2" borderId="3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52" fillId="10" borderId="1" xfId="0" applyFont="1" applyFill="1" applyBorder="1" applyAlignment="1">
      <alignment horizontal="center" vertical="center" wrapText="1"/>
    </xf>
    <xf numFmtId="0" fontId="52" fillId="10" borderId="3" xfId="0" applyFont="1" applyFill="1" applyBorder="1" applyAlignment="1">
      <alignment horizontal="center" vertical="center" wrapText="1"/>
    </xf>
    <xf numFmtId="0" fontId="52" fillId="11" borderId="1" xfId="0" applyFont="1" applyFill="1" applyBorder="1" applyAlignment="1">
      <alignment horizontal="center" vertical="center" wrapText="1"/>
    </xf>
    <xf numFmtId="0" fontId="52" fillId="11" borderId="3" xfId="0" applyFont="1" applyFill="1" applyBorder="1" applyAlignment="1">
      <alignment horizontal="center" vertical="center" wrapText="1"/>
    </xf>
    <xf numFmtId="0" fontId="43" fillId="2" borderId="5" xfId="0" applyFont="1" applyFill="1" applyBorder="1" applyAlignment="1">
      <alignment horizontal="center" vertical="center" wrapText="1"/>
    </xf>
    <xf numFmtId="0" fontId="43" fillId="2" borderId="10" xfId="0" applyFont="1" applyFill="1" applyBorder="1" applyAlignment="1">
      <alignment horizontal="center" vertical="center" wrapText="1"/>
    </xf>
    <xf numFmtId="0" fontId="43" fillId="2" borderId="11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</cellXfs>
  <cellStyles count="9">
    <cellStyle name="20% - Ênfase6" xfId="7" builtinId="50"/>
    <cellStyle name="Célula de Verificação" xfId="6" builtinId="23"/>
    <cellStyle name="Moeda" xfId="8" builtinId="4"/>
    <cellStyle name="Normal" xfId="0" builtinId="0"/>
    <cellStyle name="Normal 2" xfId="2"/>
    <cellStyle name="Normal 3" xfId="3"/>
    <cellStyle name="Porcentagem" xfId="5" builtin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8"/>
  <sheetViews>
    <sheetView topLeftCell="A141" zoomScale="150" zoomScaleNormal="150" workbookViewId="0">
      <selection activeCell="G75" sqref="G75"/>
    </sheetView>
  </sheetViews>
  <sheetFormatPr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241" t="s">
        <v>0</v>
      </c>
      <c r="B1" s="241"/>
      <c r="C1" s="241"/>
      <c r="D1" s="241"/>
      <c r="E1" s="241"/>
      <c r="F1" s="241"/>
      <c r="G1" s="241"/>
    </row>
    <row r="2" spans="1:7" x14ac:dyDescent="0.25">
      <c r="A2" s="241" t="s">
        <v>1</v>
      </c>
      <c r="B2" s="241"/>
      <c r="C2" s="241"/>
      <c r="D2" s="241"/>
      <c r="E2" s="241"/>
      <c r="F2" s="241"/>
      <c r="G2" s="241"/>
    </row>
    <row r="3" spans="1:7" x14ac:dyDescent="0.25">
      <c r="A3" s="241" t="s">
        <v>2</v>
      </c>
      <c r="B3" s="241"/>
      <c r="C3" s="241"/>
      <c r="D3" s="241"/>
      <c r="E3" s="241"/>
      <c r="F3" s="241"/>
      <c r="G3" s="241"/>
    </row>
    <row r="4" spans="1:7" x14ac:dyDescent="0.25">
      <c r="A4" s="241" t="s">
        <v>3</v>
      </c>
      <c r="B4" s="241"/>
      <c r="C4" s="241"/>
      <c r="D4" s="241"/>
      <c r="E4" s="241"/>
      <c r="F4" s="241"/>
      <c r="G4" s="241"/>
    </row>
    <row r="5" spans="1:7" x14ac:dyDescent="0.25">
      <c r="A5" s="241" t="s">
        <v>4</v>
      </c>
      <c r="B5" s="241"/>
      <c r="C5" s="241"/>
      <c r="D5" s="241"/>
      <c r="E5" s="241"/>
      <c r="F5" s="241"/>
      <c r="G5" s="241"/>
    </row>
    <row r="6" spans="1:7" x14ac:dyDescent="0.25">
      <c r="A6" s="232"/>
      <c r="B6" s="232"/>
      <c r="C6" s="232"/>
      <c r="D6" s="232"/>
      <c r="E6" s="232"/>
      <c r="F6" s="232"/>
      <c r="G6" s="232"/>
    </row>
    <row r="7" spans="1:7" ht="56.25" customHeight="1" x14ac:dyDescent="0.25">
      <c r="A7" s="233" t="s">
        <v>237</v>
      </c>
      <c r="B7" s="233"/>
      <c r="C7" s="233"/>
      <c r="D7" s="233"/>
      <c r="E7" s="233"/>
      <c r="F7" s="233"/>
      <c r="G7" s="233"/>
    </row>
    <row r="8" spans="1:7" x14ac:dyDescent="0.25">
      <c r="A8" s="234"/>
      <c r="B8" s="234"/>
      <c r="C8" s="234"/>
      <c r="D8" s="234"/>
      <c r="E8" s="234"/>
      <c r="F8" s="234"/>
      <c r="G8" s="234"/>
    </row>
    <row r="9" spans="1:7" ht="15.75" x14ac:dyDescent="0.25">
      <c r="A9" s="235" t="s">
        <v>9</v>
      </c>
      <c r="B9" s="236"/>
      <c r="C9" s="236"/>
      <c r="D9" s="236"/>
      <c r="E9" s="236"/>
      <c r="F9" s="236"/>
      <c r="G9" s="237"/>
    </row>
    <row r="10" spans="1:7" ht="32.25" customHeight="1" x14ac:dyDescent="0.25">
      <c r="A10" s="238" t="s">
        <v>181</v>
      </c>
      <c r="B10" s="239"/>
      <c r="C10" s="239"/>
      <c r="D10" s="239"/>
      <c r="E10" s="239"/>
      <c r="F10" s="239"/>
      <c r="G10" s="240"/>
    </row>
    <row r="11" spans="1:7" x14ac:dyDescent="0.25">
      <c r="A11" s="2"/>
      <c r="B11" s="3"/>
      <c r="C11" s="3"/>
      <c r="D11" s="3"/>
      <c r="E11" s="3"/>
      <c r="F11" s="3"/>
      <c r="G11" s="4"/>
    </row>
    <row r="12" spans="1:7" x14ac:dyDescent="0.25">
      <c r="A12" s="254" t="s">
        <v>104</v>
      </c>
      <c r="B12" s="255"/>
      <c r="C12" s="255"/>
      <c r="D12" s="255"/>
      <c r="E12" s="255"/>
      <c r="F12" s="255"/>
      <c r="G12" s="256"/>
    </row>
    <row r="13" spans="1:7" x14ac:dyDescent="0.25">
      <c r="A13" s="254" t="s">
        <v>105</v>
      </c>
      <c r="B13" s="255"/>
      <c r="C13" s="255"/>
      <c r="D13" s="255"/>
      <c r="E13" s="255"/>
      <c r="F13" s="255"/>
      <c r="G13" s="256"/>
    </row>
    <row r="14" spans="1:7" x14ac:dyDescent="0.25">
      <c r="A14" s="257" t="s">
        <v>11</v>
      </c>
      <c r="B14" s="257"/>
      <c r="C14" s="257"/>
      <c r="D14" s="257"/>
      <c r="E14" s="257"/>
      <c r="F14" s="257"/>
      <c r="G14" s="257"/>
    </row>
    <row r="15" spans="1:7" x14ac:dyDescent="0.25">
      <c r="A15" s="234"/>
      <c r="B15" s="234"/>
      <c r="C15" s="234"/>
      <c r="D15" s="234"/>
      <c r="E15" s="234"/>
      <c r="F15" s="234"/>
      <c r="G15" s="234"/>
    </row>
    <row r="16" spans="1:7" x14ac:dyDescent="0.25">
      <c r="A16" s="238" t="s">
        <v>12</v>
      </c>
      <c r="B16" s="239"/>
      <c r="C16" s="239"/>
      <c r="D16" s="239"/>
      <c r="E16" s="239"/>
      <c r="F16" s="239"/>
      <c r="G16" s="240"/>
    </row>
    <row r="17" spans="1:7" x14ac:dyDescent="0.25">
      <c r="A17" s="5" t="s">
        <v>13</v>
      </c>
      <c r="B17" s="242" t="s">
        <v>14</v>
      </c>
      <c r="C17" s="243"/>
      <c r="D17" s="243"/>
      <c r="E17" s="244"/>
      <c r="F17" s="245">
        <f ca="1">NOW()</f>
        <v>45671.691072337962</v>
      </c>
      <c r="G17" s="246"/>
    </row>
    <row r="18" spans="1:7" x14ac:dyDescent="0.25">
      <c r="A18" s="5" t="s">
        <v>15</v>
      </c>
      <c r="B18" s="242" t="s">
        <v>16</v>
      </c>
      <c r="C18" s="243"/>
      <c r="D18" s="243"/>
      <c r="E18" s="244"/>
      <c r="F18" s="247" t="s">
        <v>17</v>
      </c>
      <c r="G18" s="248"/>
    </row>
    <row r="19" spans="1:7" ht="29.25" customHeight="1" x14ac:dyDescent="0.25">
      <c r="A19" s="6" t="s">
        <v>18</v>
      </c>
      <c r="B19" s="249" t="s">
        <v>19</v>
      </c>
      <c r="C19" s="250"/>
      <c r="D19" s="250"/>
      <c r="E19" s="251"/>
      <c r="F19" s="252" t="s">
        <v>338</v>
      </c>
      <c r="G19" s="253"/>
    </row>
    <row r="20" spans="1:7" ht="15.75" x14ac:dyDescent="0.25">
      <c r="A20" s="5" t="s">
        <v>20</v>
      </c>
      <c r="B20" s="242" t="s">
        <v>106</v>
      </c>
      <c r="C20" s="243"/>
      <c r="D20" s="243"/>
      <c r="E20" s="244"/>
      <c r="F20" s="266">
        <v>12</v>
      </c>
      <c r="G20" s="267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238" t="s">
        <v>21</v>
      </c>
      <c r="B22" s="239"/>
      <c r="C22" s="239"/>
      <c r="D22" s="239"/>
      <c r="E22" s="239"/>
      <c r="F22" s="239"/>
      <c r="G22" s="240"/>
    </row>
    <row r="23" spans="1:7" ht="50.25" customHeight="1" x14ac:dyDescent="0.25">
      <c r="A23" s="268" t="s">
        <v>22</v>
      </c>
      <c r="B23" s="268"/>
      <c r="C23" s="268"/>
      <c r="D23" s="268"/>
      <c r="E23" s="2" t="s">
        <v>23</v>
      </c>
      <c r="F23" s="269" t="s">
        <v>24</v>
      </c>
      <c r="G23" s="270"/>
    </row>
    <row r="24" spans="1:7" ht="15.75" x14ac:dyDescent="0.25">
      <c r="A24" s="258" t="s">
        <v>146</v>
      </c>
      <c r="B24" s="259"/>
      <c r="C24" s="259"/>
      <c r="D24" s="260"/>
      <c r="E24" s="2" t="s">
        <v>25</v>
      </c>
      <c r="F24" s="261">
        <v>1</v>
      </c>
      <c r="G24" s="261"/>
    </row>
    <row r="25" spans="1:7" ht="28.5" customHeight="1" x14ac:dyDescent="0.25">
      <c r="A25" s="262" t="s">
        <v>107</v>
      </c>
      <c r="B25" s="263"/>
      <c r="C25" s="263"/>
      <c r="D25" s="263"/>
      <c r="E25" s="263"/>
      <c r="F25" s="263"/>
      <c r="G25" s="264"/>
    </row>
    <row r="26" spans="1:7" ht="33.75" customHeight="1" x14ac:dyDescent="0.25">
      <c r="A26" s="262" t="s">
        <v>108</v>
      </c>
      <c r="B26" s="263"/>
      <c r="C26" s="263"/>
      <c r="D26" s="263"/>
      <c r="E26" s="263"/>
      <c r="F26" s="263"/>
      <c r="G26" s="264"/>
    </row>
    <row r="27" spans="1:7" x14ac:dyDescent="0.25">
      <c r="A27" s="8"/>
      <c r="B27" s="9"/>
      <c r="C27" s="9"/>
      <c r="D27" s="9"/>
      <c r="E27" s="9"/>
      <c r="F27" s="9"/>
      <c r="G27" s="10"/>
    </row>
    <row r="28" spans="1:7" x14ac:dyDescent="0.25">
      <c r="A28" s="265" t="s">
        <v>26</v>
      </c>
      <c r="B28" s="265"/>
      <c r="C28" s="265"/>
      <c r="D28" s="265"/>
      <c r="E28" s="265"/>
      <c r="F28" s="265"/>
      <c r="G28" s="265"/>
    </row>
    <row r="29" spans="1:7" x14ac:dyDescent="0.25">
      <c r="A29" s="281" t="s">
        <v>27</v>
      </c>
      <c r="B29" s="281"/>
      <c r="C29" s="281"/>
      <c r="D29" s="281"/>
      <c r="E29" s="281"/>
      <c r="F29" s="281"/>
      <c r="G29" s="281"/>
    </row>
    <row r="30" spans="1:7" x14ac:dyDescent="0.25">
      <c r="A30" s="282" t="s">
        <v>28</v>
      </c>
      <c r="B30" s="282"/>
      <c r="C30" s="282"/>
      <c r="D30" s="282"/>
      <c r="E30" s="282"/>
      <c r="F30" s="282"/>
      <c r="G30" s="282"/>
    </row>
    <row r="31" spans="1:7" ht="29.25" customHeight="1" x14ac:dyDescent="0.25">
      <c r="A31" s="46">
        <v>1</v>
      </c>
      <c r="B31" s="271" t="s">
        <v>29</v>
      </c>
      <c r="C31" s="272"/>
      <c r="D31" s="272"/>
      <c r="E31" s="273"/>
      <c r="F31" s="276" t="str">
        <f>A24</f>
        <v>Bombeiro Civil Líder (Chefe de Brigada)</v>
      </c>
      <c r="G31" s="277"/>
    </row>
    <row r="32" spans="1:7" x14ac:dyDescent="0.25">
      <c r="A32" s="46">
        <v>2</v>
      </c>
      <c r="B32" s="271" t="s">
        <v>30</v>
      </c>
      <c r="C32" s="272"/>
      <c r="D32" s="272"/>
      <c r="E32" s="273"/>
      <c r="F32" s="276" t="s">
        <v>141</v>
      </c>
      <c r="G32" s="277"/>
    </row>
    <row r="33" spans="1:7" x14ac:dyDescent="0.25">
      <c r="A33" s="46">
        <v>3</v>
      </c>
      <c r="B33" s="271" t="s">
        <v>307</v>
      </c>
      <c r="C33" s="272"/>
      <c r="D33" s="272"/>
      <c r="E33" s="273"/>
      <c r="F33" s="274">
        <v>4547.13</v>
      </c>
      <c r="G33" s="275"/>
    </row>
    <row r="34" spans="1:7" ht="28.5" customHeight="1" x14ac:dyDescent="0.25">
      <c r="A34" s="46">
        <v>4</v>
      </c>
      <c r="B34" s="271" t="s">
        <v>31</v>
      </c>
      <c r="C34" s="272"/>
      <c r="D34" s="272"/>
      <c r="E34" s="273"/>
      <c r="F34" s="276" t="str">
        <f>A24</f>
        <v>Bombeiro Civil Líder (Chefe de Brigada)</v>
      </c>
      <c r="G34" s="277"/>
    </row>
    <row r="35" spans="1:7" ht="29.25" customHeight="1" x14ac:dyDescent="0.25">
      <c r="A35" s="46">
        <v>5</v>
      </c>
      <c r="B35" s="278" t="s">
        <v>308</v>
      </c>
      <c r="C35" s="278"/>
      <c r="D35" s="278"/>
      <c r="E35" s="278"/>
      <c r="F35" s="279" t="s">
        <v>96</v>
      </c>
      <c r="G35" s="280"/>
    </row>
    <row r="36" spans="1:7" x14ac:dyDescent="0.25">
      <c r="A36" s="247"/>
      <c r="B36" s="284"/>
      <c r="C36" s="284"/>
      <c r="D36" s="284"/>
      <c r="E36" s="284"/>
      <c r="F36" s="284"/>
      <c r="G36" s="248"/>
    </row>
    <row r="37" spans="1:7" x14ac:dyDescent="0.25">
      <c r="A37" s="57"/>
      <c r="B37" s="285" t="s">
        <v>109</v>
      </c>
      <c r="C37" s="285"/>
      <c r="D37" s="285"/>
      <c r="E37" s="285"/>
      <c r="F37" s="58"/>
      <c r="G37" s="59"/>
    </row>
    <row r="38" spans="1:7" x14ac:dyDescent="0.25">
      <c r="A38" s="46">
        <v>1</v>
      </c>
      <c r="B38" s="276" t="s">
        <v>32</v>
      </c>
      <c r="C38" s="283"/>
      <c r="D38" s="283"/>
      <c r="E38" s="277"/>
      <c r="F38" s="46" t="s">
        <v>33</v>
      </c>
      <c r="G38" s="46" t="s">
        <v>6</v>
      </c>
    </row>
    <row r="39" spans="1:7" x14ac:dyDescent="0.25">
      <c r="A39" s="46" t="s">
        <v>13</v>
      </c>
      <c r="B39" s="286" t="s">
        <v>142</v>
      </c>
      <c r="C39" s="272"/>
      <c r="D39" s="272"/>
      <c r="E39" s="273"/>
      <c r="F39" s="60">
        <v>1</v>
      </c>
      <c r="G39" s="56">
        <f>F33</f>
        <v>4547.13</v>
      </c>
    </row>
    <row r="40" spans="1:7" x14ac:dyDescent="0.25">
      <c r="A40" s="46" t="s">
        <v>15</v>
      </c>
      <c r="B40" s="271" t="s">
        <v>343</v>
      </c>
      <c r="C40" s="272"/>
      <c r="D40" s="272"/>
      <c r="E40" s="273"/>
      <c r="F40" s="61">
        <v>0.3</v>
      </c>
      <c r="G40" s="62">
        <f>G39*F40</f>
        <v>1364.1389999999999</v>
      </c>
    </row>
    <row r="41" spans="1:7" x14ac:dyDescent="0.25">
      <c r="A41" s="46" t="s">
        <v>18</v>
      </c>
      <c r="B41" s="271" t="s">
        <v>34</v>
      </c>
      <c r="C41" s="272"/>
      <c r="D41" s="272"/>
      <c r="E41" s="273"/>
      <c r="F41" s="60">
        <v>0</v>
      </c>
      <c r="G41" s="47">
        <f>G40*F41</f>
        <v>0</v>
      </c>
    </row>
    <row r="42" spans="1:7" x14ac:dyDescent="0.25">
      <c r="A42" s="46" t="s">
        <v>20</v>
      </c>
      <c r="B42" s="271" t="s">
        <v>35</v>
      </c>
      <c r="C42" s="272"/>
      <c r="D42" s="272"/>
      <c r="E42" s="273"/>
      <c r="F42" s="60">
        <v>0</v>
      </c>
      <c r="G42" s="47">
        <f>G41*F42</f>
        <v>0</v>
      </c>
    </row>
    <row r="43" spans="1:7" x14ac:dyDescent="0.25">
      <c r="A43" s="46" t="s">
        <v>36</v>
      </c>
      <c r="B43" s="271" t="s">
        <v>37</v>
      </c>
      <c r="C43" s="272"/>
      <c r="D43" s="272"/>
      <c r="E43" s="273"/>
      <c r="F43" s="60">
        <v>0</v>
      </c>
      <c r="G43" s="47">
        <f>G42*F43</f>
        <v>0</v>
      </c>
    </row>
    <row r="44" spans="1:7" x14ac:dyDescent="0.25">
      <c r="A44" s="46" t="s">
        <v>38</v>
      </c>
      <c r="B44" s="271" t="s">
        <v>39</v>
      </c>
      <c r="C44" s="272"/>
      <c r="D44" s="272"/>
      <c r="E44" s="273"/>
      <c r="F44" s="60"/>
      <c r="G44" s="47"/>
    </row>
    <row r="45" spans="1:7" x14ac:dyDescent="0.25">
      <c r="A45" s="63"/>
      <c r="B45" s="276" t="s">
        <v>40</v>
      </c>
      <c r="C45" s="283"/>
      <c r="D45" s="283"/>
      <c r="E45" s="283"/>
      <c r="F45" s="64">
        <f>SUM(F39:F44)</f>
        <v>1.3</v>
      </c>
      <c r="G45" s="56">
        <f>SUM(G39:G44)</f>
        <v>5911.2690000000002</v>
      </c>
    </row>
    <row r="46" spans="1:7" x14ac:dyDescent="0.25">
      <c r="A46" s="287" t="s">
        <v>110</v>
      </c>
      <c r="B46" s="288"/>
      <c r="C46" s="288"/>
      <c r="D46" s="288"/>
      <c r="E46" s="288"/>
      <c r="F46" s="288"/>
      <c r="G46" s="289"/>
    </row>
    <row r="47" spans="1:7" x14ac:dyDescent="0.25">
      <c r="A47" s="247"/>
      <c r="B47" s="284"/>
      <c r="C47" s="284"/>
      <c r="D47" s="284"/>
      <c r="E47" s="284"/>
      <c r="F47" s="284"/>
      <c r="G47" s="248"/>
    </row>
    <row r="48" spans="1:7" x14ac:dyDescent="0.25">
      <c r="A48" s="51"/>
      <c r="B48" s="290" t="s">
        <v>41</v>
      </c>
      <c r="C48" s="291"/>
      <c r="D48" s="291"/>
      <c r="E48" s="291"/>
      <c r="F48" s="54"/>
      <c r="G48" s="54"/>
    </row>
    <row r="49" spans="1:7" x14ac:dyDescent="0.25">
      <c r="A49" s="286" t="s">
        <v>42</v>
      </c>
      <c r="B49" s="292"/>
      <c r="C49" s="292"/>
      <c r="D49" s="292"/>
      <c r="E49" s="292"/>
      <c r="F49" s="292"/>
      <c r="G49" s="293"/>
    </row>
    <row r="50" spans="1:7" x14ac:dyDescent="0.25">
      <c r="A50" s="46" t="s">
        <v>43</v>
      </c>
      <c r="B50" s="286" t="s">
        <v>44</v>
      </c>
      <c r="C50" s="292"/>
      <c r="D50" s="292"/>
      <c r="E50" s="292"/>
      <c r="F50" s="293"/>
      <c r="G50" s="46" t="s">
        <v>6</v>
      </c>
    </row>
    <row r="51" spans="1:7" x14ac:dyDescent="0.25">
      <c r="A51" s="46" t="s">
        <v>13</v>
      </c>
      <c r="B51" s="271" t="s">
        <v>45</v>
      </c>
      <c r="C51" s="272"/>
      <c r="D51" s="272"/>
      <c r="E51" s="273"/>
      <c r="F51" s="55">
        <f>1/12</f>
        <v>8.3333333333333329E-2</v>
      </c>
      <c r="G51" s="47">
        <f>F51*G45</f>
        <v>492.60575</v>
      </c>
    </row>
    <row r="52" spans="1:7" x14ac:dyDescent="0.25">
      <c r="A52" s="46" t="s">
        <v>15</v>
      </c>
      <c r="B52" s="271" t="s">
        <v>46</v>
      </c>
      <c r="C52" s="272"/>
      <c r="D52" s="272"/>
      <c r="E52" s="273"/>
      <c r="F52" s="55">
        <v>0.121</v>
      </c>
      <c r="G52" s="47">
        <f>F52*G45</f>
        <v>715.26354900000001</v>
      </c>
    </row>
    <row r="53" spans="1:7" x14ac:dyDescent="0.25">
      <c r="A53" s="51"/>
      <c r="B53" s="276" t="s">
        <v>7</v>
      </c>
      <c r="C53" s="283"/>
      <c r="D53" s="283"/>
      <c r="E53" s="277"/>
      <c r="F53" s="52">
        <f>SUM(F51:F52)</f>
        <v>0.20433333333333331</v>
      </c>
      <c r="G53" s="56">
        <f>SUM(G51:G52)</f>
        <v>1207.869299</v>
      </c>
    </row>
    <row r="54" spans="1:7" ht="28.5" customHeight="1" x14ac:dyDescent="0.25">
      <c r="A54" s="262" t="s">
        <v>111</v>
      </c>
      <c r="B54" s="263"/>
      <c r="C54" s="263"/>
      <c r="D54" s="263"/>
      <c r="E54" s="263"/>
      <c r="F54" s="263"/>
      <c r="G54" s="264"/>
    </row>
    <row r="55" spans="1:7" ht="30" customHeight="1" x14ac:dyDescent="0.25">
      <c r="A55" s="262" t="s">
        <v>112</v>
      </c>
      <c r="B55" s="263"/>
      <c r="C55" s="263"/>
      <c r="D55" s="263"/>
      <c r="E55" s="263"/>
      <c r="F55" s="263"/>
      <c r="G55" s="264"/>
    </row>
    <row r="56" spans="1:7" ht="42.75" customHeight="1" x14ac:dyDescent="0.25">
      <c r="A56" s="294" t="s">
        <v>318</v>
      </c>
      <c r="B56" s="294"/>
      <c r="C56" s="294"/>
      <c r="D56" s="294"/>
      <c r="E56" s="294"/>
      <c r="F56" s="294"/>
      <c r="G56" s="295"/>
    </row>
    <row r="57" spans="1:7" x14ac:dyDescent="0.25">
      <c r="A57" s="16"/>
      <c r="B57" s="17"/>
      <c r="C57" s="17"/>
      <c r="D57" s="17"/>
      <c r="E57" s="17"/>
      <c r="F57" s="17"/>
      <c r="G57" s="18"/>
    </row>
    <row r="58" spans="1:7" ht="31.5" customHeight="1" x14ac:dyDescent="0.25">
      <c r="A58" s="286" t="s">
        <v>47</v>
      </c>
      <c r="B58" s="292"/>
      <c r="C58" s="292"/>
      <c r="D58" s="292"/>
      <c r="E58" s="292"/>
      <c r="F58" s="292"/>
      <c r="G58" s="293"/>
    </row>
    <row r="59" spans="1:7" ht="24" x14ac:dyDescent="0.25">
      <c r="A59" s="46" t="s">
        <v>48</v>
      </c>
      <c r="B59" s="286" t="s">
        <v>49</v>
      </c>
      <c r="C59" s="272"/>
      <c r="D59" s="272"/>
      <c r="E59" s="273"/>
      <c r="F59" s="48" t="s">
        <v>50</v>
      </c>
      <c r="G59" s="46" t="s">
        <v>6</v>
      </c>
    </row>
    <row r="60" spans="1:7" x14ac:dyDescent="0.25">
      <c r="A60" s="46" t="s">
        <v>13</v>
      </c>
      <c r="B60" s="271" t="s">
        <v>51</v>
      </c>
      <c r="C60" s="272"/>
      <c r="D60" s="272"/>
      <c r="E60" s="273"/>
      <c r="F60" s="49">
        <v>0.2</v>
      </c>
      <c r="G60" s="50">
        <f>F60*(G45+G53+G126)</f>
        <v>1461.3707860266668</v>
      </c>
    </row>
    <row r="61" spans="1:7" x14ac:dyDescent="0.25">
      <c r="A61" s="46" t="s">
        <v>15</v>
      </c>
      <c r="B61" s="271" t="s">
        <v>52</v>
      </c>
      <c r="C61" s="272"/>
      <c r="D61" s="272"/>
      <c r="E61" s="273"/>
      <c r="F61" s="49">
        <v>2.5000000000000001E-2</v>
      </c>
      <c r="G61" s="50">
        <f>F61*(G45+G53+G126)</f>
        <v>182.67134825333335</v>
      </c>
    </row>
    <row r="62" spans="1:7" x14ac:dyDescent="0.25">
      <c r="A62" s="46" t="s">
        <v>18</v>
      </c>
      <c r="B62" s="271" t="s">
        <v>53</v>
      </c>
      <c r="C62" s="272"/>
      <c r="D62" s="272"/>
      <c r="E62" s="273"/>
      <c r="F62" s="49">
        <v>0.03</v>
      </c>
      <c r="G62" s="50">
        <f>F62*(G45+G53+G126)</f>
        <v>219.20561790400001</v>
      </c>
    </row>
    <row r="63" spans="1:7" x14ac:dyDescent="0.25">
      <c r="A63" s="46" t="s">
        <v>20</v>
      </c>
      <c r="B63" s="271" t="s">
        <v>54</v>
      </c>
      <c r="C63" s="272"/>
      <c r="D63" s="272"/>
      <c r="E63" s="273"/>
      <c r="F63" s="49">
        <v>1.4999999999999999E-2</v>
      </c>
      <c r="G63" s="50">
        <f>F63*(G45+G53+G126)</f>
        <v>109.602808952</v>
      </c>
    </row>
    <row r="64" spans="1:7" x14ac:dyDescent="0.25">
      <c r="A64" s="46" t="s">
        <v>36</v>
      </c>
      <c r="B64" s="271" t="s">
        <v>55</v>
      </c>
      <c r="C64" s="272"/>
      <c r="D64" s="272"/>
      <c r="E64" s="273"/>
      <c r="F64" s="49">
        <v>0.01</v>
      </c>
      <c r="G64" s="50">
        <f>F64*(G45+G53+G126)</f>
        <v>73.068539301333345</v>
      </c>
    </row>
    <row r="65" spans="1:7" x14ac:dyDescent="0.25">
      <c r="A65" s="46" t="s">
        <v>38</v>
      </c>
      <c r="B65" s="271" t="s">
        <v>56</v>
      </c>
      <c r="C65" s="272"/>
      <c r="D65" s="272"/>
      <c r="E65" s="273"/>
      <c r="F65" s="49">
        <v>6.0000000000000001E-3</v>
      </c>
      <c r="G65" s="50">
        <f>F65*(G45+G53+G126)</f>
        <v>43.841123580800001</v>
      </c>
    </row>
    <row r="66" spans="1:7" x14ac:dyDescent="0.25">
      <c r="A66" s="46" t="s">
        <v>57</v>
      </c>
      <c r="B66" s="271" t="s">
        <v>58</v>
      </c>
      <c r="C66" s="272"/>
      <c r="D66" s="272"/>
      <c r="E66" s="273"/>
      <c r="F66" s="49">
        <v>2E-3</v>
      </c>
      <c r="G66" s="50">
        <f>F66*(G45+G53+G126)</f>
        <v>14.613707860266668</v>
      </c>
    </row>
    <row r="67" spans="1:7" x14ac:dyDescent="0.25">
      <c r="A67" s="46" t="s">
        <v>59</v>
      </c>
      <c r="B67" s="271" t="s">
        <v>60</v>
      </c>
      <c r="C67" s="272"/>
      <c r="D67" s="272"/>
      <c r="E67" s="273"/>
      <c r="F67" s="49">
        <v>0.08</v>
      </c>
      <c r="G67" s="50">
        <f>F67*(G45+G53+G126)</f>
        <v>584.54831441066676</v>
      </c>
    </row>
    <row r="68" spans="1:7" x14ac:dyDescent="0.25">
      <c r="A68" s="51"/>
      <c r="B68" s="276" t="s">
        <v>7</v>
      </c>
      <c r="C68" s="283"/>
      <c r="D68" s="283"/>
      <c r="E68" s="277"/>
      <c r="F68" s="52">
        <f>SUM(F60:F67)</f>
        <v>0.36800000000000005</v>
      </c>
      <c r="G68" s="53">
        <f>SUM(G60:G67)</f>
        <v>2688.9222462890666</v>
      </c>
    </row>
    <row r="69" spans="1:7" ht="23.25" customHeight="1" x14ac:dyDescent="0.25">
      <c r="A69" s="262" t="s">
        <v>114</v>
      </c>
      <c r="B69" s="263"/>
      <c r="C69" s="263"/>
      <c r="D69" s="263"/>
      <c r="E69" s="263"/>
      <c r="F69" s="263"/>
      <c r="G69" s="264"/>
    </row>
    <row r="70" spans="1:7" ht="24" customHeight="1" x14ac:dyDescent="0.25">
      <c r="A70" s="262" t="s">
        <v>115</v>
      </c>
      <c r="B70" s="263"/>
      <c r="C70" s="263"/>
      <c r="D70" s="263"/>
      <c r="E70" s="263"/>
      <c r="F70" s="263"/>
      <c r="G70" s="264"/>
    </row>
    <row r="71" spans="1:7" ht="21" customHeight="1" x14ac:dyDescent="0.25">
      <c r="A71" s="301" t="s">
        <v>61</v>
      </c>
      <c r="B71" s="302"/>
      <c r="C71" s="302"/>
      <c r="D71" s="302"/>
      <c r="E71" s="302"/>
      <c r="F71" s="302"/>
      <c r="G71" s="303"/>
    </row>
    <row r="72" spans="1:7" x14ac:dyDescent="0.25">
      <c r="A72" s="20"/>
      <c r="B72" s="21"/>
      <c r="C72" s="17"/>
      <c r="D72" s="17"/>
      <c r="E72" s="17"/>
      <c r="F72" s="22"/>
      <c r="G72" s="23"/>
    </row>
    <row r="73" spans="1:7" x14ac:dyDescent="0.25">
      <c r="A73" s="296" t="s">
        <v>62</v>
      </c>
      <c r="B73" s="297"/>
      <c r="C73" s="297"/>
      <c r="D73" s="297"/>
      <c r="E73" s="297"/>
      <c r="F73" s="297"/>
      <c r="G73" s="298"/>
    </row>
    <row r="74" spans="1:7" x14ac:dyDescent="0.25">
      <c r="A74" s="5" t="s">
        <v>63</v>
      </c>
      <c r="B74" s="299" t="s">
        <v>64</v>
      </c>
      <c r="C74" s="299"/>
      <c r="D74" s="299"/>
      <c r="E74" s="299"/>
      <c r="F74" s="299"/>
      <c r="G74" s="5" t="s">
        <v>6</v>
      </c>
    </row>
    <row r="75" spans="1:7" ht="30" customHeight="1" x14ac:dyDescent="0.25">
      <c r="A75" s="46" t="s">
        <v>13</v>
      </c>
      <c r="B75" s="278" t="s">
        <v>344</v>
      </c>
      <c r="C75" s="278"/>
      <c r="D75" s="278"/>
      <c r="E75" s="278"/>
      <c r="F75" s="278"/>
      <c r="G75" s="47"/>
    </row>
    <row r="76" spans="1:7" ht="30" customHeight="1" x14ac:dyDescent="0.25">
      <c r="A76" s="46" t="s">
        <v>15</v>
      </c>
      <c r="B76" s="278" t="s">
        <v>346</v>
      </c>
      <c r="C76" s="278"/>
      <c r="D76" s="278"/>
      <c r="E76" s="278"/>
      <c r="F76" s="278"/>
      <c r="G76" s="47">
        <f>45.23*15</f>
        <v>678.44999999999993</v>
      </c>
    </row>
    <row r="77" spans="1:7" x14ac:dyDescent="0.25">
      <c r="A77" s="46" t="s">
        <v>18</v>
      </c>
      <c r="B77" s="300" t="s">
        <v>345</v>
      </c>
      <c r="C77" s="278"/>
      <c r="D77" s="278"/>
      <c r="E77" s="278"/>
      <c r="F77" s="278"/>
      <c r="G77" s="226">
        <v>0</v>
      </c>
    </row>
    <row r="78" spans="1:7" x14ac:dyDescent="0.25">
      <c r="A78" s="46" t="s">
        <v>20</v>
      </c>
      <c r="B78" s="300" t="s">
        <v>347</v>
      </c>
      <c r="C78" s="300"/>
      <c r="D78" s="300"/>
      <c r="E78" s="300"/>
      <c r="F78" s="300"/>
      <c r="G78" s="47">
        <v>0</v>
      </c>
    </row>
    <row r="79" spans="1:7" x14ac:dyDescent="0.25">
      <c r="A79" s="5" t="s">
        <v>36</v>
      </c>
      <c r="B79" s="305" t="s">
        <v>65</v>
      </c>
      <c r="C79" s="305"/>
      <c r="D79" s="305"/>
      <c r="E79" s="305"/>
      <c r="F79" s="305"/>
      <c r="G79" s="12">
        <v>0</v>
      </c>
    </row>
    <row r="80" spans="1:7" x14ac:dyDescent="0.25">
      <c r="A80" s="46" t="s">
        <v>38</v>
      </c>
      <c r="B80" s="300" t="s">
        <v>348</v>
      </c>
      <c r="C80" s="300"/>
      <c r="D80" s="300"/>
      <c r="E80" s="300"/>
      <c r="F80" s="300"/>
      <c r="G80" s="47">
        <v>0</v>
      </c>
    </row>
    <row r="81" spans="1:7" x14ac:dyDescent="0.25">
      <c r="A81" s="13"/>
      <c r="B81" s="306" t="s">
        <v>7</v>
      </c>
      <c r="C81" s="307"/>
      <c r="D81" s="307"/>
      <c r="E81" s="307"/>
      <c r="F81" s="308"/>
      <c r="G81" s="11">
        <f>SUM(G75:G80)</f>
        <v>678.44999999999993</v>
      </c>
    </row>
    <row r="82" spans="1:7" ht="21" customHeight="1" x14ac:dyDescent="0.25">
      <c r="A82" s="262" t="s">
        <v>116</v>
      </c>
      <c r="B82" s="263"/>
      <c r="C82" s="263"/>
      <c r="D82" s="263"/>
      <c r="E82" s="263"/>
      <c r="F82" s="263"/>
      <c r="G82" s="264"/>
    </row>
    <row r="83" spans="1:7" ht="27" customHeight="1" x14ac:dyDescent="0.25">
      <c r="A83" s="262" t="s">
        <v>117</v>
      </c>
      <c r="B83" s="263"/>
      <c r="C83" s="263"/>
      <c r="D83" s="263"/>
      <c r="E83" s="263"/>
      <c r="F83" s="263"/>
      <c r="G83" s="264"/>
    </row>
    <row r="84" spans="1:7" x14ac:dyDescent="0.25">
      <c r="A84" s="16"/>
      <c r="B84" s="17"/>
      <c r="C84" s="17"/>
      <c r="D84" s="17"/>
      <c r="E84" s="17"/>
      <c r="F84" s="17"/>
      <c r="G84" s="18"/>
    </row>
    <row r="85" spans="1:7" ht="33.75" customHeight="1" x14ac:dyDescent="0.25">
      <c r="A85" s="14"/>
      <c r="B85" s="304" t="s">
        <v>66</v>
      </c>
      <c r="C85" s="304"/>
      <c r="D85" s="304"/>
      <c r="E85" s="304"/>
      <c r="F85" s="304"/>
      <c r="G85" s="24"/>
    </row>
    <row r="86" spans="1:7" x14ac:dyDescent="0.25">
      <c r="A86" s="46">
        <v>2</v>
      </c>
      <c r="B86" s="282" t="s">
        <v>67</v>
      </c>
      <c r="C86" s="282"/>
      <c r="D86" s="282"/>
      <c r="E86" s="282"/>
      <c r="F86" s="282"/>
      <c r="G86" s="46" t="s">
        <v>6</v>
      </c>
    </row>
    <row r="87" spans="1:7" x14ac:dyDescent="0.25">
      <c r="A87" s="46" t="s">
        <v>43</v>
      </c>
      <c r="B87" s="278" t="s">
        <v>68</v>
      </c>
      <c r="C87" s="278"/>
      <c r="D87" s="278"/>
      <c r="E87" s="278"/>
      <c r="F87" s="278"/>
      <c r="G87" s="47">
        <f>G53</f>
        <v>1207.869299</v>
      </c>
    </row>
    <row r="88" spans="1:7" x14ac:dyDescent="0.25">
      <c r="A88" s="46" t="s">
        <v>48</v>
      </c>
      <c r="B88" s="278" t="s">
        <v>49</v>
      </c>
      <c r="C88" s="278"/>
      <c r="D88" s="278"/>
      <c r="E88" s="278"/>
      <c r="F88" s="278"/>
      <c r="G88" s="47">
        <f>G68</f>
        <v>2688.9222462890666</v>
      </c>
    </row>
    <row r="89" spans="1:7" x14ac:dyDescent="0.25">
      <c r="A89" s="46" t="s">
        <v>63</v>
      </c>
      <c r="B89" s="278" t="s">
        <v>64</v>
      </c>
      <c r="C89" s="278"/>
      <c r="D89" s="278"/>
      <c r="E89" s="278"/>
      <c r="F89" s="278"/>
      <c r="G89" s="47">
        <f>G81</f>
        <v>678.44999999999993</v>
      </c>
    </row>
    <row r="90" spans="1:7" x14ac:dyDescent="0.25">
      <c r="A90" s="25"/>
      <c r="B90" s="309" t="s">
        <v>7</v>
      </c>
      <c r="C90" s="310"/>
      <c r="D90" s="310"/>
      <c r="E90" s="310"/>
      <c r="F90" s="311"/>
      <c r="G90" s="11">
        <f>SUM(G87:G89)</f>
        <v>4575.2415452890664</v>
      </c>
    </row>
    <row r="91" spans="1:7" x14ac:dyDescent="0.25">
      <c r="A91" s="312"/>
      <c r="B91" s="313"/>
      <c r="C91" s="313"/>
      <c r="D91" s="313"/>
      <c r="E91" s="313"/>
      <c r="F91" s="313"/>
      <c r="G91" s="314"/>
    </row>
    <row r="92" spans="1:7" x14ac:dyDescent="0.25">
      <c r="A92" s="26"/>
      <c r="B92" s="238" t="s">
        <v>69</v>
      </c>
      <c r="C92" s="239"/>
      <c r="D92" s="239"/>
      <c r="E92" s="240"/>
      <c r="F92" s="15"/>
      <c r="G92" s="15"/>
    </row>
    <row r="93" spans="1:7" ht="24" x14ac:dyDescent="0.25">
      <c r="A93" s="5">
        <v>3</v>
      </c>
      <c r="B93" s="315" t="s">
        <v>70</v>
      </c>
      <c r="C93" s="316"/>
      <c r="D93" s="316"/>
      <c r="E93" s="317"/>
      <c r="F93" s="19" t="s">
        <v>50</v>
      </c>
      <c r="G93" s="5" t="s">
        <v>6</v>
      </c>
    </row>
    <row r="94" spans="1:7" ht="37.5" customHeight="1" x14ac:dyDescent="0.25">
      <c r="A94" s="65" t="s">
        <v>13</v>
      </c>
      <c r="B94" s="271" t="s">
        <v>118</v>
      </c>
      <c r="C94" s="272"/>
      <c r="D94" s="272"/>
      <c r="E94" s="273"/>
      <c r="F94" s="66">
        <v>4.1700000000000001E-3</v>
      </c>
      <c r="G94" s="47">
        <f>F94*(G45+G53)</f>
        <v>29.686806706830001</v>
      </c>
    </row>
    <row r="95" spans="1:7" ht="21" customHeight="1" x14ac:dyDescent="0.25">
      <c r="A95" s="65" t="s">
        <v>15</v>
      </c>
      <c r="B95" s="271" t="s">
        <v>119</v>
      </c>
      <c r="C95" s="272"/>
      <c r="D95" s="272"/>
      <c r="E95" s="273"/>
      <c r="F95" s="66">
        <f>F67*F94</f>
        <v>3.3360000000000003E-4</v>
      </c>
      <c r="G95" s="47">
        <f>F95*(G45+G53)</f>
        <v>2.3749445365464004</v>
      </c>
    </row>
    <row r="96" spans="1:7" ht="49.5" customHeight="1" x14ac:dyDescent="0.25">
      <c r="A96" s="46" t="s">
        <v>18</v>
      </c>
      <c r="B96" s="271" t="s">
        <v>120</v>
      </c>
      <c r="C96" s="272"/>
      <c r="D96" s="272"/>
      <c r="E96" s="273"/>
      <c r="F96" s="66">
        <f xml:space="preserve"> (40%)*F94</f>
        <v>1.6680000000000002E-3</v>
      </c>
      <c r="G96" s="47">
        <f>F96*(G45+G53)</f>
        <v>11.874722682732001</v>
      </c>
    </row>
    <row r="97" spans="1:7" ht="48" customHeight="1" x14ac:dyDescent="0.25">
      <c r="A97" s="46" t="s">
        <v>20</v>
      </c>
      <c r="B97" s="271" t="s">
        <v>121</v>
      </c>
      <c r="C97" s="272"/>
      <c r="D97" s="272"/>
      <c r="E97" s="273"/>
      <c r="F97" s="66">
        <f>(7/30)/12</f>
        <v>1.9444444444444445E-2</v>
      </c>
      <c r="G97" s="47">
        <f>F97*(G45+G53)</f>
        <v>138.42768914722222</v>
      </c>
    </row>
    <row r="98" spans="1:7" ht="39" customHeight="1" x14ac:dyDescent="0.25">
      <c r="A98" s="46" t="s">
        <v>36</v>
      </c>
      <c r="B98" s="271" t="s">
        <v>144</v>
      </c>
      <c r="C98" s="272"/>
      <c r="D98" s="272"/>
      <c r="E98" s="273"/>
      <c r="F98" s="66">
        <f>F68*F97</f>
        <v>7.1555555555555565E-3</v>
      </c>
      <c r="G98" s="47">
        <f>F98*(G45+G53)</f>
        <v>50.941389606177786</v>
      </c>
    </row>
    <row r="99" spans="1:7" ht="29.25" customHeight="1" x14ac:dyDescent="0.25">
      <c r="A99" s="46" t="s">
        <v>38</v>
      </c>
      <c r="B99" s="271" t="s">
        <v>122</v>
      </c>
      <c r="C99" s="272"/>
      <c r="D99" s="272"/>
      <c r="E99" s="273"/>
      <c r="F99" s="55">
        <f>(1+(1/12)+(1/3/12))*0.08*0.4</f>
        <v>3.5555555555555556E-2</v>
      </c>
      <c r="G99" s="47">
        <f>F99*G45</f>
        <v>210.17845333333335</v>
      </c>
    </row>
    <row r="100" spans="1:7" x14ac:dyDescent="0.25">
      <c r="A100" s="27"/>
      <c r="B100" s="321" t="s">
        <v>7</v>
      </c>
      <c r="C100" s="322"/>
      <c r="D100" s="322"/>
      <c r="E100" s="323"/>
      <c r="F100" s="28">
        <f>SUM(F94:F99)</f>
        <v>6.8327155555555547E-2</v>
      </c>
      <c r="G100" s="11">
        <f>SUM(G94:G99)</f>
        <v>443.48400601284175</v>
      </c>
    </row>
    <row r="101" spans="1:7" x14ac:dyDescent="0.25">
      <c r="A101" s="29"/>
      <c r="B101" s="30"/>
      <c r="C101" s="30"/>
      <c r="D101" s="30"/>
      <c r="E101" s="30"/>
      <c r="F101" s="30"/>
      <c r="G101" s="31"/>
    </row>
    <row r="102" spans="1:7" x14ac:dyDescent="0.25">
      <c r="A102" s="14"/>
      <c r="B102" s="238" t="s">
        <v>71</v>
      </c>
      <c r="C102" s="239"/>
      <c r="D102" s="239"/>
      <c r="E102" s="240"/>
      <c r="F102" s="15"/>
      <c r="G102" s="15"/>
    </row>
    <row r="103" spans="1:7" ht="37.5" customHeight="1" x14ac:dyDescent="0.25">
      <c r="A103" s="324" t="s">
        <v>123</v>
      </c>
      <c r="B103" s="263"/>
      <c r="C103" s="263"/>
      <c r="D103" s="263"/>
      <c r="E103" s="263"/>
      <c r="F103" s="263"/>
      <c r="G103" s="264"/>
    </row>
    <row r="104" spans="1:7" x14ac:dyDescent="0.25">
      <c r="A104" s="247"/>
      <c r="B104" s="284"/>
      <c r="C104" s="284"/>
      <c r="D104" s="284"/>
      <c r="E104" s="284"/>
      <c r="F104" s="284"/>
      <c r="G104" s="248"/>
    </row>
    <row r="105" spans="1:7" x14ac:dyDescent="0.25">
      <c r="A105" s="318" t="s">
        <v>72</v>
      </c>
      <c r="B105" s="319"/>
      <c r="C105" s="319"/>
      <c r="D105" s="319"/>
      <c r="E105" s="319"/>
      <c r="F105" s="319"/>
      <c r="G105" s="320"/>
    </row>
    <row r="106" spans="1:7" ht="24" x14ac:dyDescent="0.25">
      <c r="A106" s="20" t="s">
        <v>73</v>
      </c>
      <c r="B106" s="315" t="s">
        <v>74</v>
      </c>
      <c r="C106" s="316"/>
      <c r="D106" s="316"/>
      <c r="E106" s="316"/>
      <c r="F106" s="19" t="s">
        <v>50</v>
      </c>
      <c r="G106" s="5" t="s">
        <v>6</v>
      </c>
    </row>
    <row r="107" spans="1:7" x14ac:dyDescent="0.25">
      <c r="A107" s="46" t="s">
        <v>13</v>
      </c>
      <c r="B107" s="271" t="s">
        <v>75</v>
      </c>
      <c r="C107" s="272"/>
      <c r="D107" s="272"/>
      <c r="E107" s="272"/>
      <c r="F107" s="55">
        <f>(8.33%+(8.33%*1/3))/12</f>
        <v>9.2555555555555551E-3</v>
      </c>
      <c r="G107" s="47">
        <f>F107*G45</f>
        <v>54.712078633333334</v>
      </c>
    </row>
    <row r="108" spans="1:7" x14ac:dyDescent="0.25">
      <c r="A108" s="46" t="s">
        <v>15</v>
      </c>
      <c r="B108" s="271" t="s">
        <v>124</v>
      </c>
      <c r="C108" s="272"/>
      <c r="D108" s="272"/>
      <c r="E108" s="272"/>
      <c r="F108" s="55">
        <f>(1/12)/30</f>
        <v>2.7777777777777775E-3</v>
      </c>
      <c r="G108" s="47">
        <f>F108*G45</f>
        <v>16.420191666666664</v>
      </c>
    </row>
    <row r="109" spans="1:7" x14ac:dyDescent="0.25">
      <c r="A109" s="46" t="s">
        <v>18</v>
      </c>
      <c r="B109" s="271" t="s">
        <v>125</v>
      </c>
      <c r="C109" s="272"/>
      <c r="D109" s="272"/>
      <c r="E109" s="272"/>
      <c r="F109" s="67">
        <f>1.5%/12</f>
        <v>1.25E-3</v>
      </c>
      <c r="G109" s="47">
        <f>F109*G45</f>
        <v>7.3890862500000001</v>
      </c>
    </row>
    <row r="110" spans="1:7" ht="33" customHeight="1" x14ac:dyDescent="0.25">
      <c r="A110" s="46" t="s">
        <v>20</v>
      </c>
      <c r="B110" s="271" t="s">
        <v>126</v>
      </c>
      <c r="C110" s="272"/>
      <c r="D110" s="272"/>
      <c r="E110" s="272"/>
      <c r="F110" s="66">
        <f>8%/12/2</f>
        <v>3.3333333333333335E-3</v>
      </c>
      <c r="G110" s="47">
        <f>F110*G45</f>
        <v>19.704230000000003</v>
      </c>
    </row>
    <row r="111" spans="1:7" ht="28.5" customHeight="1" x14ac:dyDescent="0.25">
      <c r="A111" s="46" t="s">
        <v>36</v>
      </c>
      <c r="B111" s="271" t="s">
        <v>127</v>
      </c>
      <c r="C111" s="272"/>
      <c r="D111" s="272"/>
      <c r="E111" s="272"/>
      <c r="F111" s="68">
        <f>1.5%/12</f>
        <v>1.25E-3</v>
      </c>
      <c r="G111" s="47">
        <f>F111*G45</f>
        <v>7.3890862500000001</v>
      </c>
    </row>
    <row r="112" spans="1:7" x14ac:dyDescent="0.25">
      <c r="A112" s="46" t="s">
        <v>38</v>
      </c>
      <c r="B112" s="271" t="s">
        <v>145</v>
      </c>
      <c r="C112" s="272"/>
      <c r="D112" s="272"/>
      <c r="E112" s="272"/>
      <c r="F112" s="55">
        <f>(5/12)/30</f>
        <v>1.388888888888889E-2</v>
      </c>
      <c r="G112" s="47">
        <f>F112*G45</f>
        <v>82.100958333333338</v>
      </c>
    </row>
    <row r="113" spans="1:7" x14ac:dyDescent="0.25">
      <c r="A113" s="69"/>
      <c r="B113" s="276" t="s">
        <v>7</v>
      </c>
      <c r="C113" s="283"/>
      <c r="D113" s="283"/>
      <c r="E113" s="277"/>
      <c r="F113" s="55">
        <f>SUM(F107:F112)</f>
        <v>3.1755555555555558E-2</v>
      </c>
      <c r="G113" s="56">
        <f>SUM(G107:G112)</f>
        <v>187.71563113333335</v>
      </c>
    </row>
    <row r="114" spans="1:7" ht="44.25" customHeight="1" x14ac:dyDescent="0.25">
      <c r="A114" s="262" t="s">
        <v>128</v>
      </c>
      <c r="B114" s="263"/>
      <c r="C114" s="263"/>
      <c r="D114" s="263"/>
      <c r="E114" s="263"/>
      <c r="F114" s="263"/>
      <c r="G114" s="264"/>
    </row>
    <row r="115" spans="1:7" x14ac:dyDescent="0.25">
      <c r="A115" s="315"/>
      <c r="B115" s="316"/>
      <c r="C115" s="316"/>
      <c r="D115" s="316"/>
      <c r="E115" s="316"/>
      <c r="F115" s="316"/>
      <c r="G115" s="317"/>
    </row>
    <row r="116" spans="1:7" x14ac:dyDescent="0.25">
      <c r="A116" s="286" t="s">
        <v>76</v>
      </c>
      <c r="B116" s="292"/>
      <c r="C116" s="292"/>
      <c r="D116" s="292"/>
      <c r="E116" s="292"/>
      <c r="F116" s="292"/>
      <c r="G116" s="293"/>
    </row>
    <row r="117" spans="1:7" ht="24" x14ac:dyDescent="0.25">
      <c r="A117" s="46" t="s">
        <v>77</v>
      </c>
      <c r="B117" s="276" t="s">
        <v>78</v>
      </c>
      <c r="C117" s="283"/>
      <c r="D117" s="283"/>
      <c r="E117" s="277"/>
      <c r="F117" s="48" t="s">
        <v>50</v>
      </c>
      <c r="G117" s="46" t="s">
        <v>6</v>
      </c>
    </row>
    <row r="118" spans="1:7" x14ac:dyDescent="0.25">
      <c r="A118" s="46" t="s">
        <v>13</v>
      </c>
      <c r="B118" s="271" t="s">
        <v>79</v>
      </c>
      <c r="C118" s="272"/>
      <c r="D118" s="272"/>
      <c r="E118" s="273"/>
      <c r="F118" s="70"/>
      <c r="G118" s="47"/>
    </row>
    <row r="119" spans="1:7" x14ac:dyDescent="0.25">
      <c r="A119" s="51"/>
      <c r="B119" s="276" t="s">
        <v>7</v>
      </c>
      <c r="C119" s="283"/>
      <c r="D119" s="283"/>
      <c r="E119" s="277"/>
      <c r="F119" s="70"/>
      <c r="G119" s="47"/>
    </row>
    <row r="120" spans="1:7" ht="24.75" customHeight="1" x14ac:dyDescent="0.25">
      <c r="A120" s="325" t="s">
        <v>129</v>
      </c>
      <c r="B120" s="326"/>
      <c r="C120" s="326"/>
      <c r="D120" s="326"/>
      <c r="E120" s="326"/>
      <c r="F120" s="326"/>
      <c r="G120" s="327"/>
    </row>
    <row r="121" spans="1:7" x14ac:dyDescent="0.25">
      <c r="A121" s="328"/>
      <c r="B121" s="329"/>
      <c r="C121" s="329"/>
      <c r="D121" s="329"/>
      <c r="E121" s="329"/>
      <c r="F121" s="329"/>
      <c r="G121" s="280"/>
    </row>
    <row r="122" spans="1:7" x14ac:dyDescent="0.25">
      <c r="A122" s="51"/>
      <c r="B122" s="290" t="s">
        <v>80</v>
      </c>
      <c r="C122" s="291"/>
      <c r="D122" s="291"/>
      <c r="E122" s="291"/>
      <c r="F122" s="291"/>
      <c r="G122" s="54"/>
    </row>
    <row r="123" spans="1:7" ht="24" x14ac:dyDescent="0.25">
      <c r="A123" s="46">
        <v>4</v>
      </c>
      <c r="B123" s="282" t="s">
        <v>81</v>
      </c>
      <c r="C123" s="282"/>
      <c r="D123" s="282"/>
      <c r="E123" s="282"/>
      <c r="F123" s="48" t="s">
        <v>50</v>
      </c>
      <c r="G123" s="46" t="s">
        <v>6</v>
      </c>
    </row>
    <row r="124" spans="1:7" x14ac:dyDescent="0.25">
      <c r="A124" s="46" t="s">
        <v>73</v>
      </c>
      <c r="B124" s="278" t="s">
        <v>82</v>
      </c>
      <c r="C124" s="278"/>
      <c r="D124" s="278"/>
      <c r="E124" s="278"/>
      <c r="F124" s="55">
        <f>F113</f>
        <v>3.1755555555555558E-2</v>
      </c>
      <c r="G124" s="50">
        <f>G113</f>
        <v>187.71563113333335</v>
      </c>
    </row>
    <row r="125" spans="1:7" x14ac:dyDescent="0.25">
      <c r="A125" s="46" t="s">
        <v>77</v>
      </c>
      <c r="B125" s="278" t="s">
        <v>78</v>
      </c>
      <c r="C125" s="278"/>
      <c r="D125" s="278"/>
      <c r="E125" s="278"/>
      <c r="F125" s="52"/>
      <c r="G125" s="71"/>
    </row>
    <row r="126" spans="1:7" x14ac:dyDescent="0.25">
      <c r="A126" s="54"/>
      <c r="B126" s="276" t="s">
        <v>7</v>
      </c>
      <c r="C126" s="283"/>
      <c r="D126" s="283"/>
      <c r="E126" s="277"/>
      <c r="F126" s="52"/>
      <c r="G126" s="56">
        <f>SUM(G124:G125)</f>
        <v>187.71563113333335</v>
      </c>
    </row>
    <row r="127" spans="1:7" x14ac:dyDescent="0.25">
      <c r="A127" s="72"/>
      <c r="B127" s="73"/>
      <c r="C127" s="73"/>
      <c r="D127" s="73"/>
      <c r="E127" s="73"/>
      <c r="F127" s="74"/>
      <c r="G127" s="75"/>
    </row>
    <row r="128" spans="1:7" x14ac:dyDescent="0.25">
      <c r="A128" s="51"/>
      <c r="B128" s="290" t="s">
        <v>83</v>
      </c>
      <c r="C128" s="291"/>
      <c r="D128" s="291"/>
      <c r="E128" s="291"/>
      <c r="F128" s="291"/>
      <c r="G128" s="54"/>
    </row>
    <row r="129" spans="1:8" x14ac:dyDescent="0.25">
      <c r="A129" s="46">
        <v>5</v>
      </c>
      <c r="B129" s="286" t="s">
        <v>84</v>
      </c>
      <c r="C129" s="292"/>
      <c r="D129" s="292"/>
      <c r="E129" s="292"/>
      <c r="F129" s="293"/>
      <c r="G129" s="46" t="s">
        <v>6</v>
      </c>
    </row>
    <row r="130" spans="1:8" x14ac:dyDescent="0.25">
      <c r="A130" s="46" t="s">
        <v>13</v>
      </c>
      <c r="B130" s="271" t="s">
        <v>85</v>
      </c>
      <c r="C130" s="272"/>
      <c r="D130" s="272"/>
      <c r="E130" s="272"/>
      <c r="F130" s="273"/>
      <c r="G130" s="76">
        <f>Uniformes!U22</f>
        <v>118.10368055555556</v>
      </c>
    </row>
    <row r="131" spans="1:8" x14ac:dyDescent="0.25">
      <c r="A131" s="46" t="s">
        <v>15</v>
      </c>
      <c r="B131" s="271" t="s">
        <v>182</v>
      </c>
      <c r="C131" s="272"/>
      <c r="D131" s="272"/>
      <c r="E131" s="272"/>
      <c r="F131" s="273"/>
      <c r="G131" s="76" cm="1">
        <f t="array" ref="G131:H131">'Materiais  por Demanda '!S45:T45</f>
        <v>579.41103174603188</v>
      </c>
      <c r="H131" s="1">
        <v>0</v>
      </c>
    </row>
    <row r="132" spans="1:8" ht="15" customHeight="1" x14ac:dyDescent="0.25">
      <c r="A132" s="72" t="s">
        <v>18</v>
      </c>
      <c r="B132" s="271" t="s">
        <v>204</v>
      </c>
      <c r="C132" s="272"/>
      <c r="D132" s="272"/>
      <c r="E132" s="272"/>
      <c r="F132" s="273"/>
      <c r="G132" s="76">
        <v>0</v>
      </c>
    </row>
    <row r="133" spans="1:8" x14ac:dyDescent="0.25">
      <c r="A133" s="72" t="s">
        <v>20</v>
      </c>
      <c r="B133" s="271" t="s">
        <v>99</v>
      </c>
      <c r="C133" s="272"/>
      <c r="D133" s="272"/>
      <c r="E133" s="272"/>
      <c r="F133" s="273"/>
      <c r="G133" s="56">
        <f>'Relógio de Ponto'!Q8</f>
        <v>12.53421130952381</v>
      </c>
    </row>
    <row r="134" spans="1:8" x14ac:dyDescent="0.25">
      <c r="A134" s="14"/>
      <c r="B134" s="306" t="s">
        <v>7</v>
      </c>
      <c r="C134" s="307"/>
      <c r="D134" s="307"/>
      <c r="E134" s="307"/>
      <c r="F134" s="308"/>
      <c r="G134" s="11">
        <f>SUM(G130:G133)</f>
        <v>710.04892361111126</v>
      </c>
    </row>
    <row r="135" spans="1:8" ht="26.25" customHeight="1" x14ac:dyDescent="0.25">
      <c r="A135" s="262" t="s">
        <v>130</v>
      </c>
      <c r="B135" s="263"/>
      <c r="C135" s="263"/>
      <c r="D135" s="263"/>
      <c r="E135" s="263"/>
      <c r="F135" s="263"/>
      <c r="G135" s="264"/>
    </row>
    <row r="136" spans="1:8" x14ac:dyDescent="0.25">
      <c r="A136" s="36"/>
      <c r="B136" s="30"/>
      <c r="C136" s="30"/>
      <c r="D136" s="30"/>
      <c r="E136" s="30"/>
      <c r="F136" s="22"/>
      <c r="G136" s="37"/>
    </row>
    <row r="137" spans="1:8" x14ac:dyDescent="0.25">
      <c r="A137" s="14"/>
      <c r="B137" s="238" t="s">
        <v>86</v>
      </c>
      <c r="C137" s="239"/>
      <c r="D137" s="239"/>
      <c r="E137" s="239"/>
      <c r="F137" s="239"/>
      <c r="G137" s="15"/>
    </row>
    <row r="138" spans="1:8" x14ac:dyDescent="0.25">
      <c r="A138" s="5">
        <v>6</v>
      </c>
      <c r="B138" s="299" t="s">
        <v>87</v>
      </c>
      <c r="C138" s="299"/>
      <c r="D138" s="299"/>
      <c r="E138" s="330" t="s">
        <v>50</v>
      </c>
      <c r="F138" s="330"/>
      <c r="G138" s="38" t="s">
        <v>6</v>
      </c>
    </row>
    <row r="139" spans="1:8" x14ac:dyDescent="0.25">
      <c r="A139" s="5" t="s">
        <v>13</v>
      </c>
      <c r="B139" s="331" t="s">
        <v>88</v>
      </c>
      <c r="C139" s="331"/>
      <c r="D139" s="331"/>
      <c r="E139" s="332">
        <v>0.05</v>
      </c>
      <c r="F139" s="333"/>
      <c r="G139" s="35">
        <f>(G45+G90+G100+G126+G134)*E139</f>
        <v>591.38795530231766</v>
      </c>
    </row>
    <row r="140" spans="1:8" x14ac:dyDescent="0.25">
      <c r="A140" s="5" t="s">
        <v>15</v>
      </c>
      <c r="B140" s="331" t="s">
        <v>89</v>
      </c>
      <c r="C140" s="331"/>
      <c r="D140" s="331"/>
      <c r="E140" s="332">
        <v>0.05</v>
      </c>
      <c r="F140" s="333"/>
      <c r="G140" s="35">
        <f>(G45+G90+G100+G126+G134+G139)*E140</f>
        <v>620.95735306743359</v>
      </c>
    </row>
    <row r="141" spans="1:8" x14ac:dyDescent="0.25">
      <c r="A141" s="5" t="s">
        <v>18</v>
      </c>
      <c r="B141" s="331" t="s">
        <v>90</v>
      </c>
      <c r="C141" s="331"/>
      <c r="D141" s="331"/>
      <c r="E141" s="332">
        <f>SUM(E142:F143)</f>
        <v>8.6499999999999994E-2</v>
      </c>
      <c r="F141" s="333"/>
      <c r="G141" s="33"/>
    </row>
    <row r="142" spans="1:8" x14ac:dyDescent="0.25">
      <c r="A142" s="32"/>
      <c r="B142" s="331" t="s">
        <v>131</v>
      </c>
      <c r="C142" s="331"/>
      <c r="D142" s="331"/>
      <c r="E142" s="332">
        <v>3.6499999999999998E-2</v>
      </c>
      <c r="F142" s="333"/>
      <c r="G142" s="35">
        <f>E142*G157</f>
        <v>521.0331813094557</v>
      </c>
    </row>
    <row r="143" spans="1:8" x14ac:dyDescent="0.25">
      <c r="A143" s="32"/>
      <c r="B143" s="331" t="s">
        <v>132</v>
      </c>
      <c r="C143" s="331"/>
      <c r="D143" s="331"/>
      <c r="E143" s="332">
        <v>0.05</v>
      </c>
      <c r="F143" s="333"/>
      <c r="G143" s="35">
        <f>E143*G157</f>
        <v>713.74408398555579</v>
      </c>
    </row>
    <row r="144" spans="1:8" x14ac:dyDescent="0.25">
      <c r="A144" s="14"/>
      <c r="B144" s="306" t="s">
        <v>7</v>
      </c>
      <c r="C144" s="307"/>
      <c r="D144" s="308"/>
      <c r="E144" s="334">
        <f>E139+E140+E141</f>
        <v>0.1865</v>
      </c>
      <c r="F144" s="308"/>
      <c r="G144" s="39">
        <f>SUM(G139:G143)</f>
        <v>2447.122573664763</v>
      </c>
    </row>
    <row r="145" spans="1:7" ht="17.25" customHeight="1" x14ac:dyDescent="0.25">
      <c r="A145" s="262" t="s">
        <v>133</v>
      </c>
      <c r="B145" s="263"/>
      <c r="C145" s="263"/>
      <c r="D145" s="263"/>
      <c r="E145" s="263"/>
      <c r="F145" s="263"/>
      <c r="G145" s="264"/>
    </row>
    <row r="146" spans="1:7" x14ac:dyDescent="0.25">
      <c r="A146" s="262" t="s">
        <v>134</v>
      </c>
      <c r="B146" s="263"/>
      <c r="C146" s="263"/>
      <c r="D146" s="263"/>
      <c r="E146" s="263"/>
      <c r="F146" s="263"/>
      <c r="G146" s="264"/>
    </row>
    <row r="147" spans="1:7" x14ac:dyDescent="0.25">
      <c r="A147" s="344"/>
      <c r="B147" s="344"/>
      <c r="C147" s="344"/>
      <c r="D147" s="344"/>
      <c r="E147" s="344"/>
      <c r="F147" s="344"/>
      <c r="G147" s="345"/>
    </row>
    <row r="148" spans="1:7" x14ac:dyDescent="0.25">
      <c r="A148" s="34"/>
      <c r="B148" s="239" t="s">
        <v>91</v>
      </c>
      <c r="C148" s="239"/>
      <c r="D148" s="239"/>
      <c r="E148" s="239"/>
      <c r="F148" s="239"/>
      <c r="G148" s="15"/>
    </row>
    <row r="149" spans="1:7" x14ac:dyDescent="0.25">
      <c r="A149" s="40"/>
      <c r="B149" s="315" t="s">
        <v>92</v>
      </c>
      <c r="C149" s="316"/>
      <c r="D149" s="316"/>
      <c r="E149" s="316"/>
      <c r="F149" s="317"/>
      <c r="G149" s="40" t="s">
        <v>93</v>
      </c>
    </row>
    <row r="150" spans="1:7" x14ac:dyDescent="0.25">
      <c r="A150" s="5" t="s">
        <v>13</v>
      </c>
      <c r="B150" s="335" t="s">
        <v>135</v>
      </c>
      <c r="C150" s="336"/>
      <c r="D150" s="336"/>
      <c r="E150" s="336"/>
      <c r="F150" s="337"/>
      <c r="G150" s="41">
        <f>G45</f>
        <v>5911.2690000000002</v>
      </c>
    </row>
    <row r="151" spans="1:7" x14ac:dyDescent="0.25">
      <c r="A151" s="5" t="s">
        <v>15</v>
      </c>
      <c r="B151" s="335" t="s">
        <v>136</v>
      </c>
      <c r="C151" s="336"/>
      <c r="D151" s="336"/>
      <c r="E151" s="336"/>
      <c r="F151" s="337"/>
      <c r="G151" s="41">
        <f>G90</f>
        <v>4575.2415452890664</v>
      </c>
    </row>
    <row r="152" spans="1:7" x14ac:dyDescent="0.25">
      <c r="A152" s="5" t="s">
        <v>18</v>
      </c>
      <c r="B152" s="335" t="s">
        <v>137</v>
      </c>
      <c r="C152" s="336"/>
      <c r="D152" s="336"/>
      <c r="E152" s="336"/>
      <c r="F152" s="337"/>
      <c r="G152" s="41">
        <f>G100</f>
        <v>443.48400601284175</v>
      </c>
    </row>
    <row r="153" spans="1:7" x14ac:dyDescent="0.25">
      <c r="A153" s="5" t="s">
        <v>20</v>
      </c>
      <c r="B153" s="335" t="s">
        <v>138</v>
      </c>
      <c r="C153" s="336"/>
      <c r="D153" s="336"/>
      <c r="E153" s="336"/>
      <c r="F153" s="337"/>
      <c r="G153" s="41">
        <f>G126</f>
        <v>187.71563113333335</v>
      </c>
    </row>
    <row r="154" spans="1:7" x14ac:dyDescent="0.25">
      <c r="A154" s="5" t="s">
        <v>36</v>
      </c>
      <c r="B154" s="335" t="s">
        <v>139</v>
      </c>
      <c r="C154" s="336"/>
      <c r="D154" s="336"/>
      <c r="E154" s="336"/>
      <c r="F154" s="337"/>
      <c r="G154" s="41">
        <f>G134</f>
        <v>710.04892361111126</v>
      </c>
    </row>
    <row r="155" spans="1:7" x14ac:dyDescent="0.25">
      <c r="A155" s="42"/>
      <c r="B155" s="341" t="s">
        <v>94</v>
      </c>
      <c r="C155" s="342"/>
      <c r="D155" s="342"/>
      <c r="E155" s="342"/>
      <c r="F155" s="343"/>
      <c r="G155" s="41">
        <f>SUM(G150:G154)</f>
        <v>11827.759106046353</v>
      </c>
    </row>
    <row r="156" spans="1:7" x14ac:dyDescent="0.25">
      <c r="A156" s="43" t="s">
        <v>38</v>
      </c>
      <c r="B156" s="335" t="s">
        <v>140</v>
      </c>
      <c r="C156" s="336"/>
      <c r="D156" s="336"/>
      <c r="E156" s="336"/>
      <c r="F156" s="337"/>
      <c r="G156" s="41">
        <f>G144</f>
        <v>2447.122573664763</v>
      </c>
    </row>
    <row r="157" spans="1:7" x14ac:dyDescent="0.25">
      <c r="A157" s="44"/>
      <c r="B157" s="338" t="s">
        <v>95</v>
      </c>
      <c r="C157" s="339"/>
      <c r="D157" s="339"/>
      <c r="E157" s="339"/>
      <c r="F157" s="340"/>
      <c r="G157" s="45">
        <f>(G139+G140+G155)/(1-E141)</f>
        <v>14274.881679711116</v>
      </c>
    </row>
    <row r="158" spans="1:7" x14ac:dyDescent="0.25">
      <c r="G158" s="228">
        <v>14274.88</v>
      </c>
    </row>
  </sheetData>
  <mergeCells count="166">
    <mergeCell ref="B156:F156"/>
    <mergeCell ref="B157:F157"/>
    <mergeCell ref="B151:F151"/>
    <mergeCell ref="B152:F152"/>
    <mergeCell ref="B153:F153"/>
    <mergeCell ref="B154:F154"/>
    <mergeCell ref="B155:F155"/>
    <mergeCell ref="A146:G146"/>
    <mergeCell ref="A147:G147"/>
    <mergeCell ref="B148:F148"/>
    <mergeCell ref="B149:F149"/>
    <mergeCell ref="B150:F150"/>
    <mergeCell ref="B143:D143"/>
    <mergeCell ref="E143:F143"/>
    <mergeCell ref="B144:D144"/>
    <mergeCell ref="E144:F144"/>
    <mergeCell ref="A145:G145"/>
    <mergeCell ref="B140:D140"/>
    <mergeCell ref="E140:F140"/>
    <mergeCell ref="B141:D141"/>
    <mergeCell ref="E141:F141"/>
    <mergeCell ref="B142:D142"/>
    <mergeCell ref="E142:F142"/>
    <mergeCell ref="B137:F137"/>
    <mergeCell ref="B138:D138"/>
    <mergeCell ref="E138:F138"/>
    <mergeCell ref="B139:D139"/>
    <mergeCell ref="E139:F139"/>
    <mergeCell ref="B131:F131"/>
    <mergeCell ref="B132:F132"/>
    <mergeCell ref="B133:F133"/>
    <mergeCell ref="B134:F134"/>
    <mergeCell ref="A135:G135"/>
    <mergeCell ref="B125:E125"/>
    <mergeCell ref="B126:E126"/>
    <mergeCell ref="B128:F128"/>
    <mergeCell ref="B129:F129"/>
    <mergeCell ref="B130:F130"/>
    <mergeCell ref="A120:G120"/>
    <mergeCell ref="A121:G121"/>
    <mergeCell ref="B122:F122"/>
    <mergeCell ref="B123:E123"/>
    <mergeCell ref="B124:E124"/>
    <mergeCell ref="A115:G115"/>
    <mergeCell ref="A116:G116"/>
    <mergeCell ref="B117:E117"/>
    <mergeCell ref="B118:E118"/>
    <mergeCell ref="B119:E119"/>
    <mergeCell ref="B110:E110"/>
    <mergeCell ref="B111:E111"/>
    <mergeCell ref="B112:E112"/>
    <mergeCell ref="B113:E113"/>
    <mergeCell ref="A114:G114"/>
    <mergeCell ref="A105:G105"/>
    <mergeCell ref="B106:E106"/>
    <mergeCell ref="B107:E107"/>
    <mergeCell ref="B108:E108"/>
    <mergeCell ref="B109:E109"/>
    <mergeCell ref="B99:E99"/>
    <mergeCell ref="B100:E100"/>
    <mergeCell ref="B102:E102"/>
    <mergeCell ref="A103:G103"/>
    <mergeCell ref="A104:G104"/>
    <mergeCell ref="B94:E94"/>
    <mergeCell ref="B95:E95"/>
    <mergeCell ref="B96:E96"/>
    <mergeCell ref="B97:E97"/>
    <mergeCell ref="B98:E98"/>
    <mergeCell ref="B89:F89"/>
    <mergeCell ref="B90:F90"/>
    <mergeCell ref="A91:G91"/>
    <mergeCell ref="B92:E92"/>
    <mergeCell ref="B93:E93"/>
    <mergeCell ref="A83:G83"/>
    <mergeCell ref="B85:F85"/>
    <mergeCell ref="B86:F86"/>
    <mergeCell ref="B87:F87"/>
    <mergeCell ref="B88:F88"/>
    <mergeCell ref="B78:F78"/>
    <mergeCell ref="B79:F79"/>
    <mergeCell ref="B80:F80"/>
    <mergeCell ref="B81:F81"/>
    <mergeCell ref="A82:G82"/>
    <mergeCell ref="A73:G73"/>
    <mergeCell ref="B74:F74"/>
    <mergeCell ref="B75:F75"/>
    <mergeCell ref="B76:F76"/>
    <mergeCell ref="B77:F77"/>
    <mergeCell ref="B67:E67"/>
    <mergeCell ref="B68:E68"/>
    <mergeCell ref="A69:G69"/>
    <mergeCell ref="A70:G70"/>
    <mergeCell ref="A71:G71"/>
    <mergeCell ref="B62:E62"/>
    <mergeCell ref="B63:E63"/>
    <mergeCell ref="B64:E64"/>
    <mergeCell ref="B65:E65"/>
    <mergeCell ref="B66:E66"/>
    <mergeCell ref="A56:G56"/>
    <mergeCell ref="A58:G58"/>
    <mergeCell ref="B59:E59"/>
    <mergeCell ref="B60:E60"/>
    <mergeCell ref="B61:E61"/>
    <mergeCell ref="B51:E51"/>
    <mergeCell ref="B52:E52"/>
    <mergeCell ref="B53:E53"/>
    <mergeCell ref="A54:G54"/>
    <mergeCell ref="A55:G55"/>
    <mergeCell ref="A46:G46"/>
    <mergeCell ref="A47:G47"/>
    <mergeCell ref="B48:E48"/>
    <mergeCell ref="A49:G49"/>
    <mergeCell ref="B50:F50"/>
    <mergeCell ref="B41:E41"/>
    <mergeCell ref="B42:E42"/>
    <mergeCell ref="B43:E43"/>
    <mergeCell ref="B44:E44"/>
    <mergeCell ref="B45:E45"/>
    <mergeCell ref="A36:G36"/>
    <mergeCell ref="B37:E37"/>
    <mergeCell ref="B38:E38"/>
    <mergeCell ref="B39:E39"/>
    <mergeCell ref="B40:E40"/>
    <mergeCell ref="B33:E33"/>
    <mergeCell ref="F33:G33"/>
    <mergeCell ref="B34:E34"/>
    <mergeCell ref="F34:G34"/>
    <mergeCell ref="B35:E35"/>
    <mergeCell ref="F35:G35"/>
    <mergeCell ref="A29:G29"/>
    <mergeCell ref="A30:G30"/>
    <mergeCell ref="B31:E31"/>
    <mergeCell ref="F31:G31"/>
    <mergeCell ref="B32:E32"/>
    <mergeCell ref="F32:G32"/>
    <mergeCell ref="A24:D24"/>
    <mergeCell ref="F24:G24"/>
    <mergeCell ref="A25:G25"/>
    <mergeCell ref="A26:G26"/>
    <mergeCell ref="A28:G28"/>
    <mergeCell ref="B20:E20"/>
    <mergeCell ref="F20:G20"/>
    <mergeCell ref="A22:G22"/>
    <mergeCell ref="A23:D23"/>
    <mergeCell ref="F23:G23"/>
    <mergeCell ref="B17:E17"/>
    <mergeCell ref="F17:G17"/>
    <mergeCell ref="B18:E18"/>
    <mergeCell ref="F18:G18"/>
    <mergeCell ref="B19:E19"/>
    <mergeCell ref="F19:G19"/>
    <mergeCell ref="A12:G12"/>
    <mergeCell ref="A13:G13"/>
    <mergeCell ref="A14:G14"/>
    <mergeCell ref="A15:G15"/>
    <mergeCell ref="A16:G16"/>
    <mergeCell ref="A6:G6"/>
    <mergeCell ref="A7:G7"/>
    <mergeCell ref="A8:G8"/>
    <mergeCell ref="A9:G9"/>
    <mergeCell ref="A10:G10"/>
    <mergeCell ref="A1:G1"/>
    <mergeCell ref="A2:G2"/>
    <mergeCell ref="A3:G3"/>
    <mergeCell ref="A4:G4"/>
    <mergeCell ref="A5:G5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5" max="16383" man="1"/>
    <brk id="91" max="16383" man="1"/>
    <brk id="13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5"/>
  <sheetViews>
    <sheetView tabSelected="1" topLeftCell="A130" zoomScale="130" zoomScaleNormal="130" workbookViewId="0">
      <selection activeCell="B75" sqref="B75:F75"/>
    </sheetView>
  </sheetViews>
  <sheetFormatPr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331" t="s">
        <v>0</v>
      </c>
      <c r="B1" s="331"/>
      <c r="C1" s="331"/>
      <c r="D1" s="331"/>
      <c r="E1" s="331"/>
      <c r="F1" s="331"/>
      <c r="G1" s="331"/>
    </row>
    <row r="2" spans="1:7" x14ac:dyDescent="0.25">
      <c r="A2" s="331" t="s">
        <v>1</v>
      </c>
      <c r="B2" s="331"/>
      <c r="C2" s="331"/>
      <c r="D2" s="331"/>
      <c r="E2" s="331"/>
      <c r="F2" s="331"/>
      <c r="G2" s="331"/>
    </row>
    <row r="3" spans="1:7" x14ac:dyDescent="0.25">
      <c r="A3" s="331" t="s">
        <v>2</v>
      </c>
      <c r="B3" s="331"/>
      <c r="C3" s="331"/>
      <c r="D3" s="331"/>
      <c r="E3" s="331"/>
      <c r="F3" s="331"/>
      <c r="G3" s="331"/>
    </row>
    <row r="4" spans="1:7" x14ac:dyDescent="0.25">
      <c r="A4" s="331" t="s">
        <v>3</v>
      </c>
      <c r="B4" s="331"/>
      <c r="C4" s="331"/>
      <c r="D4" s="331"/>
      <c r="E4" s="331"/>
      <c r="F4" s="331"/>
      <c r="G4" s="331"/>
    </row>
    <row r="5" spans="1:7" x14ac:dyDescent="0.25">
      <c r="A5" s="331" t="s">
        <v>4</v>
      </c>
      <c r="B5" s="331"/>
      <c r="C5" s="331"/>
      <c r="D5" s="331"/>
      <c r="E5" s="331"/>
      <c r="F5" s="331"/>
      <c r="G5" s="331"/>
    </row>
    <row r="6" spans="1:7" x14ac:dyDescent="0.25">
      <c r="A6" s="346"/>
      <c r="B6" s="346"/>
      <c r="C6" s="346"/>
      <c r="D6" s="346"/>
      <c r="E6" s="346"/>
      <c r="F6" s="346"/>
      <c r="G6" s="346"/>
    </row>
    <row r="7" spans="1:7" ht="56.25" customHeight="1" x14ac:dyDescent="0.25">
      <c r="A7" s="350" t="s">
        <v>237</v>
      </c>
      <c r="B7" s="350"/>
      <c r="C7" s="350"/>
      <c r="D7" s="350"/>
      <c r="E7" s="350"/>
      <c r="F7" s="350"/>
      <c r="G7" s="350"/>
    </row>
    <row r="8" spans="1:7" x14ac:dyDescent="0.25">
      <c r="A8" s="234"/>
      <c r="B8" s="234"/>
      <c r="C8" s="234"/>
      <c r="D8" s="234"/>
      <c r="E8" s="234"/>
      <c r="F8" s="234"/>
      <c r="G8" s="234"/>
    </row>
    <row r="9" spans="1:7" ht="15.75" x14ac:dyDescent="0.25">
      <c r="A9" s="351" t="s">
        <v>9</v>
      </c>
      <c r="B9" s="352"/>
      <c r="C9" s="352"/>
      <c r="D9" s="352"/>
      <c r="E9" s="352"/>
      <c r="F9" s="352"/>
      <c r="G9" s="353"/>
    </row>
    <row r="10" spans="1:7" ht="32.25" customHeight="1" x14ac:dyDescent="0.25">
      <c r="A10" s="269" t="s">
        <v>10</v>
      </c>
      <c r="B10" s="347"/>
      <c r="C10" s="347"/>
      <c r="D10" s="347"/>
      <c r="E10" s="347"/>
      <c r="F10" s="347"/>
      <c r="G10" s="270"/>
    </row>
    <row r="11" spans="1:7" x14ac:dyDescent="0.25">
      <c r="A11" s="2"/>
      <c r="B11" s="3"/>
      <c r="C11" s="3"/>
      <c r="D11" s="3"/>
      <c r="E11" s="3"/>
      <c r="F11" s="3"/>
      <c r="G11" s="4"/>
    </row>
    <row r="12" spans="1:7" x14ac:dyDescent="0.25">
      <c r="A12" s="254" t="s">
        <v>104</v>
      </c>
      <c r="B12" s="255"/>
      <c r="C12" s="255"/>
      <c r="D12" s="255"/>
      <c r="E12" s="255"/>
      <c r="F12" s="255"/>
      <c r="G12" s="256"/>
    </row>
    <row r="13" spans="1:7" x14ac:dyDescent="0.25">
      <c r="A13" s="254" t="s">
        <v>105</v>
      </c>
      <c r="B13" s="255"/>
      <c r="C13" s="255"/>
      <c r="D13" s="255"/>
      <c r="E13" s="255"/>
      <c r="F13" s="255"/>
      <c r="G13" s="256"/>
    </row>
    <row r="14" spans="1:7" x14ac:dyDescent="0.25">
      <c r="A14" s="257" t="s">
        <v>11</v>
      </c>
      <c r="B14" s="257"/>
      <c r="C14" s="257"/>
      <c r="D14" s="257"/>
      <c r="E14" s="257"/>
      <c r="F14" s="257"/>
      <c r="G14" s="257"/>
    </row>
    <row r="15" spans="1:7" x14ac:dyDescent="0.25">
      <c r="A15" s="234"/>
      <c r="B15" s="234"/>
      <c r="C15" s="234"/>
      <c r="D15" s="234"/>
      <c r="E15" s="234"/>
      <c r="F15" s="234"/>
      <c r="G15" s="234"/>
    </row>
    <row r="16" spans="1:7" x14ac:dyDescent="0.25">
      <c r="A16" s="269" t="s">
        <v>12</v>
      </c>
      <c r="B16" s="347"/>
      <c r="C16" s="347"/>
      <c r="D16" s="347"/>
      <c r="E16" s="347"/>
      <c r="F16" s="347"/>
      <c r="G16" s="270"/>
    </row>
    <row r="17" spans="1:7" ht="15.75" x14ac:dyDescent="0.25">
      <c r="A17" s="5" t="s">
        <v>13</v>
      </c>
      <c r="B17" s="242" t="s">
        <v>14</v>
      </c>
      <c r="C17" s="243"/>
      <c r="D17" s="243"/>
      <c r="E17" s="244"/>
      <c r="F17" s="348">
        <f ca="1">NOW()</f>
        <v>45671.691072337962</v>
      </c>
      <c r="G17" s="349"/>
    </row>
    <row r="18" spans="1:7" x14ac:dyDescent="0.25">
      <c r="A18" s="5" t="s">
        <v>15</v>
      </c>
      <c r="B18" s="242" t="s">
        <v>16</v>
      </c>
      <c r="C18" s="243"/>
      <c r="D18" s="243"/>
      <c r="E18" s="244"/>
      <c r="F18" s="247" t="s">
        <v>17</v>
      </c>
      <c r="G18" s="248"/>
    </row>
    <row r="19" spans="1:7" ht="29.25" customHeight="1" x14ac:dyDescent="0.25">
      <c r="A19" s="5" t="s">
        <v>18</v>
      </c>
      <c r="B19" s="357" t="s">
        <v>19</v>
      </c>
      <c r="C19" s="358"/>
      <c r="D19" s="358"/>
      <c r="E19" s="359"/>
      <c r="F19" s="360" t="s">
        <v>338</v>
      </c>
      <c r="G19" s="361"/>
    </row>
    <row r="20" spans="1:7" ht="15.75" x14ac:dyDescent="0.25">
      <c r="A20" s="5" t="s">
        <v>20</v>
      </c>
      <c r="B20" s="242" t="s">
        <v>106</v>
      </c>
      <c r="C20" s="243"/>
      <c r="D20" s="243"/>
      <c r="E20" s="244"/>
      <c r="F20" s="266">
        <v>12</v>
      </c>
      <c r="G20" s="267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269" t="s">
        <v>21</v>
      </c>
      <c r="B22" s="347"/>
      <c r="C22" s="347"/>
      <c r="D22" s="347"/>
      <c r="E22" s="347"/>
      <c r="F22" s="347"/>
      <c r="G22" s="270"/>
    </row>
    <row r="23" spans="1:7" ht="50.25" customHeight="1" x14ac:dyDescent="0.25">
      <c r="A23" s="268" t="s">
        <v>22</v>
      </c>
      <c r="B23" s="268"/>
      <c r="C23" s="268"/>
      <c r="D23" s="268"/>
      <c r="E23" s="2" t="s">
        <v>23</v>
      </c>
      <c r="F23" s="269" t="s">
        <v>24</v>
      </c>
      <c r="G23" s="270"/>
    </row>
    <row r="24" spans="1:7" ht="15.75" x14ac:dyDescent="0.25">
      <c r="A24" s="354" t="s">
        <v>148</v>
      </c>
      <c r="B24" s="355"/>
      <c r="C24" s="355"/>
      <c r="D24" s="356"/>
      <c r="E24" s="2" t="s">
        <v>25</v>
      </c>
      <c r="F24" s="261">
        <v>1</v>
      </c>
      <c r="G24" s="261"/>
    </row>
    <row r="25" spans="1:7" ht="28.5" customHeight="1" x14ac:dyDescent="0.25">
      <c r="A25" s="262" t="s">
        <v>107</v>
      </c>
      <c r="B25" s="263"/>
      <c r="C25" s="263"/>
      <c r="D25" s="263"/>
      <c r="E25" s="263"/>
      <c r="F25" s="263"/>
      <c r="G25" s="264"/>
    </row>
    <row r="26" spans="1:7" ht="33.75" customHeight="1" x14ac:dyDescent="0.25">
      <c r="A26" s="262" t="s">
        <v>108</v>
      </c>
      <c r="B26" s="263"/>
      <c r="C26" s="263"/>
      <c r="D26" s="263"/>
      <c r="E26" s="263"/>
      <c r="F26" s="263"/>
      <c r="G26" s="264"/>
    </row>
    <row r="27" spans="1:7" x14ac:dyDescent="0.25">
      <c r="A27" s="8"/>
      <c r="B27" s="9"/>
      <c r="C27" s="9"/>
      <c r="D27" s="9"/>
      <c r="E27" s="9"/>
      <c r="F27" s="9"/>
      <c r="G27" s="10"/>
    </row>
    <row r="28" spans="1:7" x14ac:dyDescent="0.25">
      <c r="A28" s="265" t="s">
        <v>26</v>
      </c>
      <c r="B28" s="265"/>
      <c r="C28" s="265"/>
      <c r="D28" s="265"/>
      <c r="E28" s="265"/>
      <c r="F28" s="265"/>
      <c r="G28" s="265"/>
    </row>
    <row r="29" spans="1:7" x14ac:dyDescent="0.25">
      <c r="A29" s="299" t="s">
        <v>27</v>
      </c>
      <c r="B29" s="299"/>
      <c r="C29" s="299"/>
      <c r="D29" s="299"/>
      <c r="E29" s="299"/>
      <c r="F29" s="299"/>
      <c r="G29" s="299"/>
    </row>
    <row r="30" spans="1:7" x14ac:dyDescent="0.25">
      <c r="A30" s="299" t="s">
        <v>28</v>
      </c>
      <c r="B30" s="299"/>
      <c r="C30" s="299"/>
      <c r="D30" s="299"/>
      <c r="E30" s="299"/>
      <c r="F30" s="299"/>
      <c r="G30" s="299"/>
    </row>
    <row r="31" spans="1:7" ht="27.75" customHeight="1" x14ac:dyDescent="0.25">
      <c r="A31" s="5">
        <v>1</v>
      </c>
      <c r="B31" s="362" t="s">
        <v>29</v>
      </c>
      <c r="C31" s="363"/>
      <c r="D31" s="363"/>
      <c r="E31" s="364"/>
      <c r="F31" s="315" t="str">
        <f>A24</f>
        <v>Bombeiro Civil  (Brigadista) Diurno</v>
      </c>
      <c r="G31" s="317"/>
    </row>
    <row r="32" spans="1:7" x14ac:dyDescent="0.25">
      <c r="A32" s="5">
        <v>2</v>
      </c>
      <c r="B32" s="362" t="s">
        <v>30</v>
      </c>
      <c r="C32" s="363"/>
      <c r="D32" s="363"/>
      <c r="E32" s="364"/>
      <c r="F32" s="315" t="s">
        <v>147</v>
      </c>
      <c r="G32" s="317"/>
    </row>
    <row r="33" spans="1:7" x14ac:dyDescent="0.25">
      <c r="A33" s="5">
        <v>3</v>
      </c>
      <c r="B33" s="362" t="s">
        <v>307</v>
      </c>
      <c r="C33" s="363"/>
      <c r="D33" s="363"/>
      <c r="E33" s="364"/>
      <c r="F33" s="367">
        <v>3669.27</v>
      </c>
      <c r="G33" s="368"/>
    </row>
    <row r="34" spans="1:7" ht="28.5" customHeight="1" x14ac:dyDescent="0.25">
      <c r="A34" s="5">
        <v>4</v>
      </c>
      <c r="B34" s="362" t="s">
        <v>31</v>
      </c>
      <c r="C34" s="363"/>
      <c r="D34" s="363"/>
      <c r="E34" s="364"/>
      <c r="F34" s="315" t="str">
        <f>A24</f>
        <v>Bombeiro Civil  (Brigadista) Diurno</v>
      </c>
      <c r="G34" s="317"/>
    </row>
    <row r="35" spans="1:7" ht="29.25" customHeight="1" x14ac:dyDescent="0.25">
      <c r="A35" s="5">
        <v>5</v>
      </c>
      <c r="B35" s="331" t="s">
        <v>309</v>
      </c>
      <c r="C35" s="331"/>
      <c r="D35" s="331"/>
      <c r="E35" s="331"/>
      <c r="F35" s="365" t="s">
        <v>96</v>
      </c>
      <c r="G35" s="248"/>
    </row>
    <row r="36" spans="1:7" x14ac:dyDescent="0.25">
      <c r="A36" s="247"/>
      <c r="B36" s="284"/>
      <c r="C36" s="284"/>
      <c r="D36" s="284"/>
      <c r="E36" s="284"/>
      <c r="F36" s="284"/>
      <c r="G36" s="248"/>
    </row>
    <row r="37" spans="1:7" x14ac:dyDescent="0.25">
      <c r="A37" s="100"/>
      <c r="B37" s="366" t="s">
        <v>109</v>
      </c>
      <c r="C37" s="366"/>
      <c r="D37" s="366"/>
      <c r="E37" s="366"/>
      <c r="F37" s="179"/>
      <c r="G37" s="180"/>
    </row>
    <row r="38" spans="1:7" x14ac:dyDescent="0.25">
      <c r="A38" s="5">
        <v>1</v>
      </c>
      <c r="B38" s="315" t="s">
        <v>32</v>
      </c>
      <c r="C38" s="316"/>
      <c r="D38" s="316"/>
      <c r="E38" s="317"/>
      <c r="F38" s="5" t="s">
        <v>33</v>
      </c>
      <c r="G38" s="5" t="s">
        <v>6</v>
      </c>
    </row>
    <row r="39" spans="1:7" x14ac:dyDescent="0.25">
      <c r="A39" s="5" t="s">
        <v>13</v>
      </c>
      <c r="B39" s="296" t="s">
        <v>142</v>
      </c>
      <c r="C39" s="363"/>
      <c r="D39" s="363"/>
      <c r="E39" s="364"/>
      <c r="F39" s="182">
        <v>1</v>
      </c>
      <c r="G39" s="11">
        <f>F33</f>
        <v>3669.27</v>
      </c>
    </row>
    <row r="40" spans="1:7" x14ac:dyDescent="0.25">
      <c r="A40" s="5" t="s">
        <v>15</v>
      </c>
      <c r="B40" s="362" t="s">
        <v>349</v>
      </c>
      <c r="C40" s="363"/>
      <c r="D40" s="363"/>
      <c r="E40" s="364"/>
      <c r="F40" s="131">
        <v>0.3</v>
      </c>
      <c r="G40" s="132">
        <f>G39*F40</f>
        <v>1100.7809999999999</v>
      </c>
    </row>
    <row r="41" spans="1:7" x14ac:dyDescent="0.25">
      <c r="A41" s="5" t="s">
        <v>18</v>
      </c>
      <c r="B41" s="362" t="s">
        <v>34</v>
      </c>
      <c r="C41" s="363"/>
      <c r="D41" s="363"/>
      <c r="E41" s="364"/>
      <c r="F41" s="130">
        <v>0</v>
      </c>
      <c r="G41" s="12">
        <f>G40*F41</f>
        <v>0</v>
      </c>
    </row>
    <row r="42" spans="1:7" x14ac:dyDescent="0.25">
      <c r="A42" s="5" t="s">
        <v>20</v>
      </c>
      <c r="B42" s="362" t="s">
        <v>35</v>
      </c>
      <c r="C42" s="363"/>
      <c r="D42" s="363"/>
      <c r="E42" s="364"/>
      <c r="F42" s="130">
        <v>0</v>
      </c>
      <c r="G42" s="12">
        <f>G41*F42</f>
        <v>0</v>
      </c>
    </row>
    <row r="43" spans="1:7" x14ac:dyDescent="0.25">
      <c r="A43" s="5" t="s">
        <v>36</v>
      </c>
      <c r="B43" s="362" t="s">
        <v>37</v>
      </c>
      <c r="C43" s="363"/>
      <c r="D43" s="363"/>
      <c r="E43" s="364"/>
      <c r="F43" s="130">
        <v>0</v>
      </c>
      <c r="G43" s="12">
        <f>G42*F43</f>
        <v>0</v>
      </c>
    </row>
    <row r="44" spans="1:7" x14ac:dyDescent="0.25">
      <c r="A44" s="5" t="s">
        <v>38</v>
      </c>
      <c r="B44" s="362" t="s">
        <v>39</v>
      </c>
      <c r="C44" s="363"/>
      <c r="D44" s="363"/>
      <c r="E44" s="364"/>
      <c r="F44" s="130"/>
      <c r="G44" s="12"/>
    </row>
    <row r="45" spans="1:7" x14ac:dyDescent="0.25">
      <c r="A45" s="40"/>
      <c r="B45" s="306" t="s">
        <v>40</v>
      </c>
      <c r="C45" s="307"/>
      <c r="D45" s="307"/>
      <c r="E45" s="307"/>
      <c r="F45" s="181">
        <f>SUM(F39:F44)</f>
        <v>1.3</v>
      </c>
      <c r="G45" s="11">
        <f>SUM(G39:G44)</f>
        <v>4770.0509999999995</v>
      </c>
    </row>
    <row r="46" spans="1:7" x14ac:dyDescent="0.25">
      <c r="A46" s="262" t="s">
        <v>110</v>
      </c>
      <c r="B46" s="263"/>
      <c r="C46" s="263"/>
      <c r="D46" s="263"/>
      <c r="E46" s="263"/>
      <c r="F46" s="263"/>
      <c r="G46" s="264"/>
    </row>
    <row r="47" spans="1:7" x14ac:dyDescent="0.25">
      <c r="A47" s="247"/>
      <c r="B47" s="284"/>
      <c r="C47" s="284"/>
      <c r="D47" s="284"/>
      <c r="E47" s="284"/>
      <c r="F47" s="284"/>
      <c r="G47" s="248"/>
    </row>
    <row r="48" spans="1:7" x14ac:dyDescent="0.25">
      <c r="A48" s="29"/>
      <c r="B48" s="238" t="s">
        <v>41</v>
      </c>
      <c r="C48" s="239"/>
      <c r="D48" s="239"/>
      <c r="E48" s="239"/>
      <c r="F48" s="15"/>
      <c r="G48" s="15"/>
    </row>
    <row r="49" spans="1:7" x14ac:dyDescent="0.25">
      <c r="A49" s="296" t="s">
        <v>42</v>
      </c>
      <c r="B49" s="297"/>
      <c r="C49" s="297"/>
      <c r="D49" s="297"/>
      <c r="E49" s="297"/>
      <c r="F49" s="297"/>
      <c r="G49" s="298"/>
    </row>
    <row r="50" spans="1:7" x14ac:dyDescent="0.25">
      <c r="A50" s="5" t="s">
        <v>43</v>
      </c>
      <c r="B50" s="296" t="s">
        <v>44</v>
      </c>
      <c r="C50" s="297"/>
      <c r="D50" s="297"/>
      <c r="E50" s="297"/>
      <c r="F50" s="298"/>
      <c r="G50" s="5" t="s">
        <v>6</v>
      </c>
    </row>
    <row r="51" spans="1:7" x14ac:dyDescent="0.25">
      <c r="A51" s="5" t="s">
        <v>13</v>
      </c>
      <c r="B51" s="362" t="s">
        <v>45</v>
      </c>
      <c r="C51" s="363"/>
      <c r="D51" s="363"/>
      <c r="E51" s="364"/>
      <c r="F51" s="134">
        <f>1/12</f>
        <v>8.3333333333333329E-2</v>
      </c>
      <c r="G51" s="12">
        <f>F51*G45</f>
        <v>397.50424999999996</v>
      </c>
    </row>
    <row r="52" spans="1:7" x14ac:dyDescent="0.25">
      <c r="A52" s="5" t="s">
        <v>15</v>
      </c>
      <c r="B52" s="362" t="s">
        <v>46</v>
      </c>
      <c r="C52" s="363"/>
      <c r="D52" s="363"/>
      <c r="E52" s="364"/>
      <c r="F52" s="134">
        <v>0.121</v>
      </c>
      <c r="G52" s="12">
        <f>F52*G45</f>
        <v>577.17617099999995</v>
      </c>
    </row>
    <row r="53" spans="1:7" x14ac:dyDescent="0.25">
      <c r="A53" s="29"/>
      <c r="B53" s="306" t="s">
        <v>7</v>
      </c>
      <c r="C53" s="307"/>
      <c r="D53" s="307"/>
      <c r="E53" s="308"/>
      <c r="F53" s="183">
        <f>SUM(F51:F52)</f>
        <v>0.20433333333333331</v>
      </c>
      <c r="G53" s="11">
        <f>SUM(G51:G52)</f>
        <v>974.68042099999991</v>
      </c>
    </row>
    <row r="54" spans="1:7" ht="28.5" customHeight="1" x14ac:dyDescent="0.25">
      <c r="A54" s="262" t="s">
        <v>111</v>
      </c>
      <c r="B54" s="263"/>
      <c r="C54" s="263"/>
      <c r="D54" s="263"/>
      <c r="E54" s="263"/>
      <c r="F54" s="263"/>
      <c r="G54" s="264"/>
    </row>
    <row r="55" spans="1:7" ht="30" customHeight="1" x14ac:dyDescent="0.25">
      <c r="A55" s="262" t="s">
        <v>112</v>
      </c>
      <c r="B55" s="263"/>
      <c r="C55" s="263"/>
      <c r="D55" s="263"/>
      <c r="E55" s="263"/>
      <c r="F55" s="263"/>
      <c r="G55" s="264"/>
    </row>
    <row r="56" spans="1:7" ht="42.75" customHeight="1" x14ac:dyDescent="0.25">
      <c r="A56" s="369" t="s">
        <v>113</v>
      </c>
      <c r="B56" s="369"/>
      <c r="C56" s="369"/>
      <c r="D56" s="369"/>
      <c r="E56" s="369"/>
      <c r="F56" s="369"/>
      <c r="G56" s="370"/>
    </row>
    <row r="57" spans="1:7" x14ac:dyDescent="0.25">
      <c r="A57" s="16"/>
      <c r="B57" s="17"/>
      <c r="C57" s="17"/>
      <c r="D57" s="17"/>
      <c r="E57" s="17"/>
      <c r="F57" s="17"/>
      <c r="G57" s="18"/>
    </row>
    <row r="58" spans="1:7" ht="31.5" customHeight="1" x14ac:dyDescent="0.25">
      <c r="A58" s="296" t="s">
        <v>47</v>
      </c>
      <c r="B58" s="297"/>
      <c r="C58" s="297"/>
      <c r="D58" s="297"/>
      <c r="E58" s="297"/>
      <c r="F58" s="297"/>
      <c r="G58" s="298"/>
    </row>
    <row r="59" spans="1:7" ht="24" x14ac:dyDescent="0.25">
      <c r="A59" s="5" t="s">
        <v>48</v>
      </c>
      <c r="B59" s="296" t="s">
        <v>49</v>
      </c>
      <c r="C59" s="363"/>
      <c r="D59" s="363"/>
      <c r="E59" s="364"/>
      <c r="F59" s="19" t="s">
        <v>50</v>
      </c>
      <c r="G59" s="5" t="s">
        <v>6</v>
      </c>
    </row>
    <row r="60" spans="1:7" x14ac:dyDescent="0.25">
      <c r="A60" s="5" t="s">
        <v>13</v>
      </c>
      <c r="B60" s="362" t="s">
        <v>51</v>
      </c>
      <c r="C60" s="363"/>
      <c r="D60" s="363"/>
      <c r="E60" s="364"/>
      <c r="F60" s="136">
        <v>0.2</v>
      </c>
      <c r="G60" s="137">
        <f>F60*(G45+G53+G123)</f>
        <v>1179.2414081066665</v>
      </c>
    </row>
    <row r="61" spans="1:7" x14ac:dyDescent="0.25">
      <c r="A61" s="5" t="s">
        <v>15</v>
      </c>
      <c r="B61" s="362" t="s">
        <v>52</v>
      </c>
      <c r="C61" s="363"/>
      <c r="D61" s="363"/>
      <c r="E61" s="364"/>
      <c r="F61" s="136">
        <v>2.5000000000000001E-2</v>
      </c>
      <c r="G61" s="137">
        <f>F61*(G45+G53+G123)</f>
        <v>147.40517601333332</v>
      </c>
    </row>
    <row r="62" spans="1:7" x14ac:dyDescent="0.25">
      <c r="A62" s="5" t="s">
        <v>18</v>
      </c>
      <c r="B62" s="371" t="s">
        <v>53</v>
      </c>
      <c r="C62" s="372"/>
      <c r="D62" s="372"/>
      <c r="E62" s="373"/>
      <c r="F62" s="184">
        <v>0.03</v>
      </c>
      <c r="G62" s="185">
        <f>F62*(G45+G53+G123)</f>
        <v>176.88621121599996</v>
      </c>
    </row>
    <row r="63" spans="1:7" x14ac:dyDescent="0.25">
      <c r="A63" s="5" t="s">
        <v>20</v>
      </c>
      <c r="B63" s="362" t="s">
        <v>54</v>
      </c>
      <c r="C63" s="363"/>
      <c r="D63" s="363"/>
      <c r="E63" s="364"/>
      <c r="F63" s="136">
        <v>1.4999999999999999E-2</v>
      </c>
      <c r="G63" s="137">
        <f>F63*(G45+G53+G123)</f>
        <v>88.443105607999982</v>
      </c>
    </row>
    <row r="64" spans="1:7" x14ac:dyDescent="0.25">
      <c r="A64" s="5" t="s">
        <v>36</v>
      </c>
      <c r="B64" s="362" t="s">
        <v>55</v>
      </c>
      <c r="C64" s="363"/>
      <c r="D64" s="363"/>
      <c r="E64" s="364"/>
      <c r="F64" s="136">
        <v>0.01</v>
      </c>
      <c r="G64" s="137">
        <f>F64*(G45+G53+G123)</f>
        <v>58.962070405333328</v>
      </c>
    </row>
    <row r="65" spans="1:7" x14ac:dyDescent="0.25">
      <c r="A65" s="5" t="s">
        <v>38</v>
      </c>
      <c r="B65" s="362" t="s">
        <v>56</v>
      </c>
      <c r="C65" s="363"/>
      <c r="D65" s="363"/>
      <c r="E65" s="364"/>
      <c r="F65" s="136">
        <v>6.0000000000000001E-3</v>
      </c>
      <c r="G65" s="137">
        <f>F65*(G45+G53+G123)</f>
        <v>35.377242243199994</v>
      </c>
    </row>
    <row r="66" spans="1:7" x14ac:dyDescent="0.25">
      <c r="A66" s="5" t="s">
        <v>57</v>
      </c>
      <c r="B66" s="362" t="s">
        <v>58</v>
      </c>
      <c r="C66" s="363"/>
      <c r="D66" s="363"/>
      <c r="E66" s="364"/>
      <c r="F66" s="136">
        <v>2E-3</v>
      </c>
      <c r="G66" s="137">
        <f>F66*(G45+G53+G123)</f>
        <v>11.792414081066665</v>
      </c>
    </row>
    <row r="67" spans="1:7" x14ac:dyDescent="0.25">
      <c r="A67" s="5" t="s">
        <v>59</v>
      </c>
      <c r="B67" s="362" t="s">
        <v>60</v>
      </c>
      <c r="C67" s="363"/>
      <c r="D67" s="363"/>
      <c r="E67" s="364"/>
      <c r="F67" s="136">
        <v>0.08</v>
      </c>
      <c r="G67" s="137">
        <f>F67*(G45+G53+G123)</f>
        <v>471.69656324266663</v>
      </c>
    </row>
    <row r="68" spans="1:7" x14ac:dyDescent="0.25">
      <c r="A68" s="29"/>
      <c r="B68" s="306" t="s">
        <v>7</v>
      </c>
      <c r="C68" s="307"/>
      <c r="D68" s="307"/>
      <c r="E68" s="308"/>
      <c r="F68" s="183">
        <f>SUM(F60:F67)</f>
        <v>0.36800000000000005</v>
      </c>
      <c r="G68" s="186">
        <f>SUM(G60:G67)</f>
        <v>2169.8041909162666</v>
      </c>
    </row>
    <row r="69" spans="1:7" ht="23.25" customHeight="1" x14ac:dyDescent="0.25">
      <c r="A69" s="262" t="s">
        <v>114</v>
      </c>
      <c r="B69" s="263"/>
      <c r="C69" s="263"/>
      <c r="D69" s="263"/>
      <c r="E69" s="263"/>
      <c r="F69" s="263"/>
      <c r="G69" s="264"/>
    </row>
    <row r="70" spans="1:7" ht="24" customHeight="1" x14ac:dyDescent="0.25">
      <c r="A70" s="262" t="s">
        <v>115</v>
      </c>
      <c r="B70" s="263"/>
      <c r="C70" s="263"/>
      <c r="D70" s="263"/>
      <c r="E70" s="263"/>
      <c r="F70" s="263"/>
      <c r="G70" s="264"/>
    </row>
    <row r="71" spans="1:7" ht="21" customHeight="1" x14ac:dyDescent="0.25">
      <c r="A71" s="301" t="s">
        <v>61</v>
      </c>
      <c r="B71" s="302"/>
      <c r="C71" s="302"/>
      <c r="D71" s="302"/>
      <c r="E71" s="302"/>
      <c r="F71" s="302"/>
      <c r="G71" s="303"/>
    </row>
    <row r="72" spans="1:7" x14ac:dyDescent="0.25">
      <c r="A72" s="20"/>
      <c r="B72" s="21"/>
      <c r="C72" s="17"/>
      <c r="D72" s="17"/>
      <c r="E72" s="17"/>
      <c r="F72" s="22"/>
      <c r="G72" s="23"/>
    </row>
    <row r="73" spans="1:7" x14ac:dyDescent="0.25">
      <c r="A73" s="296" t="s">
        <v>62</v>
      </c>
      <c r="B73" s="297"/>
      <c r="C73" s="297"/>
      <c r="D73" s="297"/>
      <c r="E73" s="297"/>
      <c r="F73" s="297"/>
      <c r="G73" s="298"/>
    </row>
    <row r="74" spans="1:7" x14ac:dyDescent="0.25">
      <c r="A74" s="5" t="s">
        <v>63</v>
      </c>
      <c r="B74" s="299" t="s">
        <v>64</v>
      </c>
      <c r="C74" s="299"/>
      <c r="D74" s="299"/>
      <c r="E74" s="299"/>
      <c r="F74" s="299"/>
      <c r="G74" s="5" t="s">
        <v>6</v>
      </c>
    </row>
    <row r="75" spans="1:7" ht="30" customHeight="1" x14ac:dyDescent="0.25">
      <c r="A75" s="5" t="s">
        <v>13</v>
      </c>
      <c r="B75" s="331" t="s">
        <v>350</v>
      </c>
      <c r="C75" s="331"/>
      <c r="D75" s="331"/>
      <c r="E75" s="331"/>
      <c r="F75" s="331"/>
      <c r="G75" s="12"/>
    </row>
    <row r="76" spans="1:7" ht="30" customHeight="1" x14ac:dyDescent="0.25">
      <c r="A76" s="5" t="s">
        <v>15</v>
      </c>
      <c r="B76" s="331" t="s">
        <v>351</v>
      </c>
      <c r="C76" s="331"/>
      <c r="D76" s="331"/>
      <c r="E76" s="331"/>
      <c r="F76" s="331"/>
      <c r="G76" s="12">
        <f>45.23*15</f>
        <v>678.44999999999993</v>
      </c>
    </row>
    <row r="77" spans="1:7" x14ac:dyDescent="0.25">
      <c r="A77" s="5" t="s">
        <v>18</v>
      </c>
      <c r="B77" s="305" t="s">
        <v>352</v>
      </c>
      <c r="C77" s="331"/>
      <c r="D77" s="331"/>
      <c r="E77" s="331"/>
      <c r="F77" s="331"/>
      <c r="G77" s="12">
        <v>0</v>
      </c>
    </row>
    <row r="78" spans="1:7" x14ac:dyDescent="0.25">
      <c r="A78" s="5" t="s">
        <v>20</v>
      </c>
      <c r="B78" s="305" t="s">
        <v>347</v>
      </c>
      <c r="C78" s="305"/>
      <c r="D78" s="305"/>
      <c r="E78" s="305"/>
      <c r="F78" s="305"/>
      <c r="G78" s="12">
        <v>0</v>
      </c>
    </row>
    <row r="79" spans="1:7" x14ac:dyDescent="0.25">
      <c r="A79" s="5" t="s">
        <v>36</v>
      </c>
      <c r="B79" s="305" t="s">
        <v>65</v>
      </c>
      <c r="C79" s="305"/>
      <c r="D79" s="305"/>
      <c r="E79" s="305"/>
      <c r="F79" s="305"/>
      <c r="G79" s="12">
        <v>0</v>
      </c>
    </row>
    <row r="80" spans="1:7" x14ac:dyDescent="0.25">
      <c r="A80" s="5" t="s">
        <v>38</v>
      </c>
      <c r="B80" s="305" t="s">
        <v>353</v>
      </c>
      <c r="C80" s="305"/>
      <c r="D80" s="305"/>
      <c r="E80" s="305"/>
      <c r="F80" s="305"/>
      <c r="G80" s="12">
        <v>0</v>
      </c>
    </row>
    <row r="81" spans="1:7" x14ac:dyDescent="0.25">
      <c r="A81" s="40"/>
      <c r="B81" s="306" t="s">
        <v>7</v>
      </c>
      <c r="C81" s="307"/>
      <c r="D81" s="307"/>
      <c r="E81" s="307"/>
      <c r="F81" s="308"/>
      <c r="G81" s="11">
        <f>SUM(G75:G80)</f>
        <v>678.44999999999993</v>
      </c>
    </row>
    <row r="82" spans="1:7" ht="21" customHeight="1" x14ac:dyDescent="0.25">
      <c r="A82" s="262" t="s">
        <v>116</v>
      </c>
      <c r="B82" s="263"/>
      <c r="C82" s="263"/>
      <c r="D82" s="263"/>
      <c r="E82" s="263"/>
      <c r="F82" s="263"/>
      <c r="G82" s="264"/>
    </row>
    <row r="83" spans="1:7" ht="27" customHeight="1" x14ac:dyDescent="0.25">
      <c r="A83" s="262" t="s">
        <v>117</v>
      </c>
      <c r="B83" s="263"/>
      <c r="C83" s="263"/>
      <c r="D83" s="263"/>
      <c r="E83" s="263"/>
      <c r="F83" s="263"/>
      <c r="G83" s="264"/>
    </row>
    <row r="84" spans="1:7" x14ac:dyDescent="0.25">
      <c r="A84" s="16"/>
      <c r="B84" s="17"/>
      <c r="C84" s="17"/>
      <c r="D84" s="17"/>
      <c r="E84" s="17"/>
      <c r="F84" s="17"/>
      <c r="G84" s="18"/>
    </row>
    <row r="85" spans="1:7" ht="33.75" customHeight="1" x14ac:dyDescent="0.25">
      <c r="A85" s="29"/>
      <c r="B85" s="304" t="s">
        <v>66</v>
      </c>
      <c r="C85" s="304"/>
      <c r="D85" s="304"/>
      <c r="E85" s="304"/>
      <c r="F85" s="304"/>
      <c r="G85" s="24"/>
    </row>
    <row r="86" spans="1:7" x14ac:dyDescent="0.25">
      <c r="A86" s="5">
        <v>2</v>
      </c>
      <c r="B86" s="299" t="s">
        <v>67</v>
      </c>
      <c r="C86" s="299"/>
      <c r="D86" s="299"/>
      <c r="E86" s="299"/>
      <c r="F86" s="299"/>
      <c r="G86" s="5" t="s">
        <v>6</v>
      </c>
    </row>
    <row r="87" spans="1:7" x14ac:dyDescent="0.25">
      <c r="A87" s="5" t="s">
        <v>43</v>
      </c>
      <c r="B87" s="331" t="s">
        <v>68</v>
      </c>
      <c r="C87" s="331"/>
      <c r="D87" s="331"/>
      <c r="E87" s="331"/>
      <c r="F87" s="331"/>
      <c r="G87" s="12">
        <f>G53</f>
        <v>974.68042099999991</v>
      </c>
    </row>
    <row r="88" spans="1:7" x14ac:dyDescent="0.25">
      <c r="A88" s="5" t="s">
        <v>48</v>
      </c>
      <c r="B88" s="331" t="s">
        <v>49</v>
      </c>
      <c r="C88" s="331"/>
      <c r="D88" s="331"/>
      <c r="E88" s="331"/>
      <c r="F88" s="331"/>
      <c r="G88" s="12">
        <f>G68</f>
        <v>2169.8041909162666</v>
      </c>
    </row>
    <row r="89" spans="1:7" x14ac:dyDescent="0.25">
      <c r="A89" s="5" t="s">
        <v>63</v>
      </c>
      <c r="B89" s="331" t="s">
        <v>64</v>
      </c>
      <c r="C89" s="331"/>
      <c r="D89" s="331"/>
      <c r="E89" s="331"/>
      <c r="F89" s="331"/>
      <c r="G89" s="12">
        <f>G81</f>
        <v>678.44999999999993</v>
      </c>
    </row>
    <row r="90" spans="1:7" x14ac:dyDescent="0.25">
      <c r="A90" s="138"/>
      <c r="B90" s="309" t="s">
        <v>7</v>
      </c>
      <c r="C90" s="310"/>
      <c r="D90" s="310"/>
      <c r="E90" s="310"/>
      <c r="F90" s="311"/>
      <c r="G90" s="11">
        <f>SUM(G87:G89)</f>
        <v>3822.9346119162665</v>
      </c>
    </row>
    <row r="91" spans="1:7" x14ac:dyDescent="0.25">
      <c r="A91" s="312"/>
      <c r="B91" s="313"/>
      <c r="C91" s="313"/>
      <c r="D91" s="313"/>
      <c r="E91" s="313"/>
      <c r="F91" s="313"/>
      <c r="G91" s="314"/>
    </row>
    <row r="92" spans="1:7" x14ac:dyDescent="0.25">
      <c r="A92" s="129"/>
      <c r="B92" s="238" t="s">
        <v>69</v>
      </c>
      <c r="C92" s="239"/>
      <c r="D92" s="239"/>
      <c r="E92" s="240"/>
      <c r="F92" s="15"/>
      <c r="G92" s="15"/>
    </row>
    <row r="93" spans="1:7" ht="24" x14ac:dyDescent="0.25">
      <c r="A93" s="5">
        <v>3</v>
      </c>
      <c r="B93" s="315" t="s">
        <v>70</v>
      </c>
      <c r="C93" s="316"/>
      <c r="D93" s="316"/>
      <c r="E93" s="317"/>
      <c r="F93" s="19" t="s">
        <v>50</v>
      </c>
      <c r="G93" s="5" t="s">
        <v>6</v>
      </c>
    </row>
    <row r="94" spans="1:7" ht="37.5" customHeight="1" x14ac:dyDescent="0.25">
      <c r="A94" s="2" t="s">
        <v>13</v>
      </c>
      <c r="B94" s="362" t="s">
        <v>118</v>
      </c>
      <c r="C94" s="363"/>
      <c r="D94" s="363"/>
      <c r="E94" s="364"/>
      <c r="F94" s="139">
        <v>4.1700000000000001E-3</v>
      </c>
      <c r="G94" s="12">
        <f>F94*(G45+G53)</f>
        <v>23.955530025569999</v>
      </c>
    </row>
    <row r="95" spans="1:7" ht="21" customHeight="1" x14ac:dyDescent="0.25">
      <c r="A95" s="2" t="s">
        <v>15</v>
      </c>
      <c r="B95" s="362" t="s">
        <v>119</v>
      </c>
      <c r="C95" s="363"/>
      <c r="D95" s="363"/>
      <c r="E95" s="364"/>
      <c r="F95" s="139">
        <f>F67*F94</f>
        <v>3.3360000000000003E-4</v>
      </c>
      <c r="G95" s="12">
        <f>F95*(G45+G53)</f>
        <v>1.9164424020456001</v>
      </c>
    </row>
    <row r="96" spans="1:7" ht="49.5" customHeight="1" x14ac:dyDescent="0.25">
      <c r="A96" s="5" t="s">
        <v>18</v>
      </c>
      <c r="B96" s="362" t="s">
        <v>120</v>
      </c>
      <c r="C96" s="363"/>
      <c r="D96" s="363"/>
      <c r="E96" s="364"/>
      <c r="F96" s="139">
        <f xml:space="preserve"> (40%)*F94</f>
        <v>1.6680000000000002E-3</v>
      </c>
      <c r="G96" s="12">
        <f>F96*(G45+G53)</f>
        <v>9.582212010228</v>
      </c>
    </row>
    <row r="97" spans="1:7" ht="48" customHeight="1" x14ac:dyDescent="0.25">
      <c r="A97" s="5" t="s">
        <v>20</v>
      </c>
      <c r="B97" s="362" t="s">
        <v>121</v>
      </c>
      <c r="C97" s="363"/>
      <c r="D97" s="363"/>
      <c r="E97" s="364"/>
      <c r="F97" s="139">
        <f>(7/30)/12</f>
        <v>1.9444444444444445E-2</v>
      </c>
      <c r="G97" s="12">
        <f>F97*(G45+G53)</f>
        <v>111.70311096388888</v>
      </c>
    </row>
    <row r="98" spans="1:7" ht="39" customHeight="1" x14ac:dyDescent="0.25">
      <c r="A98" s="5" t="s">
        <v>36</v>
      </c>
      <c r="B98" s="362" t="s">
        <v>144</v>
      </c>
      <c r="C98" s="363"/>
      <c r="D98" s="363"/>
      <c r="E98" s="364"/>
      <c r="F98" s="139">
        <f>F68*F97</f>
        <v>7.1555555555555565E-3</v>
      </c>
      <c r="G98" s="12">
        <f>F98*(G45+G53)</f>
        <v>41.106744834711115</v>
      </c>
    </row>
    <row r="99" spans="1:7" ht="29.25" customHeight="1" x14ac:dyDescent="0.25">
      <c r="A99" s="5" t="s">
        <v>38</v>
      </c>
      <c r="B99" s="362" t="s">
        <v>122</v>
      </c>
      <c r="C99" s="363"/>
      <c r="D99" s="363"/>
      <c r="E99" s="364"/>
      <c r="F99" s="134">
        <f>(1+(1/12)+(1/3/12))*0.08*0.4</f>
        <v>3.5555555555555556E-2</v>
      </c>
      <c r="G99" s="12">
        <f>F99*G45</f>
        <v>169.60181333333333</v>
      </c>
    </row>
    <row r="100" spans="1:7" x14ac:dyDescent="0.25">
      <c r="A100" s="140"/>
      <c r="B100" s="321" t="s">
        <v>7</v>
      </c>
      <c r="C100" s="322"/>
      <c r="D100" s="322"/>
      <c r="E100" s="323"/>
      <c r="F100" s="28">
        <f>SUM(F94:F99)</f>
        <v>6.8327155555555547E-2</v>
      </c>
      <c r="G100" s="11">
        <f>SUM(G94:G99)</f>
        <v>357.86585356977696</v>
      </c>
    </row>
    <row r="101" spans="1:7" x14ac:dyDescent="0.25">
      <c r="A101" s="29"/>
      <c r="B101" s="30"/>
      <c r="C101" s="30"/>
      <c r="D101" s="30"/>
      <c r="E101" s="30"/>
      <c r="F101" s="30"/>
      <c r="G101" s="31"/>
    </row>
    <row r="102" spans="1:7" x14ac:dyDescent="0.25">
      <c r="A102" s="29"/>
      <c r="B102" s="238" t="s">
        <v>71</v>
      </c>
      <c r="C102" s="239"/>
      <c r="D102" s="239"/>
      <c r="E102" s="240"/>
      <c r="F102" s="15"/>
      <c r="G102" s="15"/>
    </row>
    <row r="103" spans="1:7" ht="37.5" customHeight="1" x14ac:dyDescent="0.25">
      <c r="A103" s="324" t="s">
        <v>123</v>
      </c>
      <c r="B103" s="263"/>
      <c r="C103" s="263"/>
      <c r="D103" s="263"/>
      <c r="E103" s="263"/>
      <c r="F103" s="263"/>
      <c r="G103" s="264"/>
    </row>
    <row r="104" spans="1:7" x14ac:dyDescent="0.25">
      <c r="A104" s="247"/>
      <c r="B104" s="284"/>
      <c r="C104" s="284"/>
      <c r="D104" s="284"/>
      <c r="E104" s="284"/>
      <c r="F104" s="284"/>
      <c r="G104" s="248"/>
    </row>
    <row r="105" spans="1:7" x14ac:dyDescent="0.25">
      <c r="A105" s="296" t="s">
        <v>72</v>
      </c>
      <c r="B105" s="297"/>
      <c r="C105" s="297"/>
      <c r="D105" s="297"/>
      <c r="E105" s="297"/>
      <c r="F105" s="297"/>
      <c r="G105" s="298"/>
    </row>
    <row r="106" spans="1:7" ht="24" x14ac:dyDescent="0.25">
      <c r="A106" s="20" t="s">
        <v>73</v>
      </c>
      <c r="B106" s="315" t="s">
        <v>74</v>
      </c>
      <c r="C106" s="316"/>
      <c r="D106" s="316"/>
      <c r="E106" s="316"/>
      <c r="F106" s="19" t="s">
        <v>50</v>
      </c>
      <c r="G106" s="5" t="s">
        <v>6</v>
      </c>
    </row>
    <row r="107" spans="1:7" x14ac:dyDescent="0.25">
      <c r="A107" s="5" t="s">
        <v>13</v>
      </c>
      <c r="B107" s="362" t="s">
        <v>75</v>
      </c>
      <c r="C107" s="363"/>
      <c r="D107" s="363"/>
      <c r="E107" s="363"/>
      <c r="F107" s="134">
        <f>(8.33%+(8.33%*1/3))/12</f>
        <v>9.2555555555555551E-3</v>
      </c>
      <c r="G107" s="12">
        <f>F107*G45</f>
        <v>44.149472033333325</v>
      </c>
    </row>
    <row r="108" spans="1:7" x14ac:dyDescent="0.25">
      <c r="A108" s="5" t="s">
        <v>15</v>
      </c>
      <c r="B108" s="362" t="s">
        <v>124</v>
      </c>
      <c r="C108" s="363"/>
      <c r="D108" s="363"/>
      <c r="E108" s="363"/>
      <c r="F108" s="134">
        <f>(1/12)/30</f>
        <v>2.7777777777777775E-3</v>
      </c>
      <c r="G108" s="12">
        <f>F108*G45</f>
        <v>13.250141666666664</v>
      </c>
    </row>
    <row r="109" spans="1:7" x14ac:dyDescent="0.25">
      <c r="A109" s="5" t="s">
        <v>18</v>
      </c>
      <c r="B109" s="362" t="s">
        <v>125</v>
      </c>
      <c r="C109" s="363"/>
      <c r="D109" s="363"/>
      <c r="E109" s="363"/>
      <c r="F109" s="141">
        <f>1.5%/12</f>
        <v>1.25E-3</v>
      </c>
      <c r="G109" s="12">
        <f>F109*G45</f>
        <v>5.9625637499999993</v>
      </c>
    </row>
    <row r="110" spans="1:7" ht="33" customHeight="1" x14ac:dyDescent="0.25">
      <c r="A110" s="5" t="s">
        <v>20</v>
      </c>
      <c r="B110" s="362" t="s">
        <v>126</v>
      </c>
      <c r="C110" s="363"/>
      <c r="D110" s="363"/>
      <c r="E110" s="363"/>
      <c r="F110" s="139">
        <f>8%/12/2</f>
        <v>3.3333333333333335E-3</v>
      </c>
      <c r="G110" s="12">
        <f>F110*G45</f>
        <v>15.900169999999999</v>
      </c>
    </row>
    <row r="111" spans="1:7" ht="28.5" customHeight="1" x14ac:dyDescent="0.25">
      <c r="A111" s="5" t="s">
        <v>36</v>
      </c>
      <c r="B111" s="362" t="s">
        <v>127</v>
      </c>
      <c r="C111" s="363"/>
      <c r="D111" s="363"/>
      <c r="E111" s="363"/>
      <c r="F111" s="142">
        <f>1.5%/12</f>
        <v>1.25E-3</v>
      </c>
      <c r="G111" s="12">
        <f>F111*G45</f>
        <v>5.9625637499999993</v>
      </c>
    </row>
    <row r="112" spans="1:7" x14ac:dyDescent="0.25">
      <c r="A112" s="5" t="s">
        <v>38</v>
      </c>
      <c r="B112" s="362" t="s">
        <v>145</v>
      </c>
      <c r="C112" s="363"/>
      <c r="D112" s="363"/>
      <c r="E112" s="363"/>
      <c r="F112" s="134">
        <f>(5/12)/30</f>
        <v>1.388888888888889E-2</v>
      </c>
      <c r="G112" s="12">
        <f>F112*G45</f>
        <v>66.250708333333336</v>
      </c>
    </row>
    <row r="113" spans="1:8" x14ac:dyDescent="0.25">
      <c r="A113" s="140"/>
      <c r="B113" s="306" t="s">
        <v>7</v>
      </c>
      <c r="C113" s="307"/>
      <c r="D113" s="307"/>
      <c r="E113" s="308"/>
      <c r="F113" s="187">
        <f>SUM(F107:F112)</f>
        <v>3.1755555555555558E-2</v>
      </c>
      <c r="G113" s="11">
        <f>SUM(G107:G112)</f>
        <v>151.47561953333332</v>
      </c>
    </row>
    <row r="114" spans="1:8" ht="44.25" customHeight="1" x14ac:dyDescent="0.25">
      <c r="A114" s="262" t="s">
        <v>128</v>
      </c>
      <c r="B114" s="263"/>
      <c r="C114" s="263"/>
      <c r="D114" s="263"/>
      <c r="E114" s="263"/>
      <c r="F114" s="263"/>
      <c r="G114" s="264"/>
    </row>
    <row r="115" spans="1:8" x14ac:dyDescent="0.25">
      <c r="A115" s="315"/>
      <c r="B115" s="316"/>
      <c r="C115" s="316"/>
      <c r="D115" s="316"/>
      <c r="E115" s="316"/>
      <c r="F115" s="316"/>
      <c r="G115" s="317"/>
    </row>
    <row r="116" spans="1:8" x14ac:dyDescent="0.25">
      <c r="A116" s="296" t="s">
        <v>76</v>
      </c>
      <c r="B116" s="297"/>
      <c r="C116" s="297"/>
      <c r="D116" s="297"/>
      <c r="E116" s="297"/>
      <c r="F116" s="297"/>
      <c r="G116" s="298"/>
    </row>
    <row r="117" spans="1:8" ht="24" x14ac:dyDescent="0.25">
      <c r="A117" s="5" t="s">
        <v>77</v>
      </c>
      <c r="B117" s="315" t="s">
        <v>78</v>
      </c>
      <c r="C117" s="316"/>
      <c r="D117" s="316"/>
      <c r="E117" s="317"/>
      <c r="F117" s="19" t="s">
        <v>50</v>
      </c>
      <c r="G117" s="5" t="s">
        <v>6</v>
      </c>
    </row>
    <row r="118" spans="1:8" x14ac:dyDescent="0.25">
      <c r="A118" s="5" t="s">
        <v>13</v>
      </c>
      <c r="B118" s="362" t="s">
        <v>79</v>
      </c>
      <c r="C118" s="363"/>
      <c r="D118" s="363"/>
      <c r="E118" s="364"/>
      <c r="F118" s="32"/>
      <c r="G118" s="12"/>
    </row>
    <row r="119" spans="1:8" x14ac:dyDescent="0.25">
      <c r="A119" s="29"/>
      <c r="B119" s="306" t="s">
        <v>7</v>
      </c>
      <c r="C119" s="307"/>
      <c r="D119" s="307"/>
      <c r="E119" s="308"/>
      <c r="F119" s="188"/>
      <c r="G119" s="189"/>
    </row>
    <row r="120" spans="1:8" ht="24" x14ac:dyDescent="0.25">
      <c r="A120" s="5">
        <v>4</v>
      </c>
      <c r="B120" s="299" t="s">
        <v>81</v>
      </c>
      <c r="C120" s="299"/>
      <c r="D120" s="299"/>
      <c r="E120" s="299"/>
      <c r="F120" s="19" t="s">
        <v>50</v>
      </c>
      <c r="G120" s="5" t="s">
        <v>6</v>
      </c>
    </row>
    <row r="121" spans="1:8" x14ac:dyDescent="0.25">
      <c r="A121" s="5" t="s">
        <v>73</v>
      </c>
      <c r="B121" s="331" t="s">
        <v>82</v>
      </c>
      <c r="C121" s="331"/>
      <c r="D121" s="331"/>
      <c r="E121" s="331"/>
      <c r="F121" s="134">
        <f>F113</f>
        <v>3.1755555555555558E-2</v>
      </c>
      <c r="G121" s="137">
        <f>G113</f>
        <v>151.47561953333332</v>
      </c>
    </row>
    <row r="122" spans="1:8" x14ac:dyDescent="0.25">
      <c r="A122" s="5" t="s">
        <v>77</v>
      </c>
      <c r="B122" s="331" t="s">
        <v>78</v>
      </c>
      <c r="C122" s="331"/>
      <c r="D122" s="331"/>
      <c r="E122" s="331"/>
      <c r="F122" s="135"/>
      <c r="G122" s="33"/>
    </row>
    <row r="123" spans="1:8" x14ac:dyDescent="0.25">
      <c r="A123" s="133"/>
      <c r="B123" s="306" t="s">
        <v>7</v>
      </c>
      <c r="C123" s="307"/>
      <c r="D123" s="307"/>
      <c r="E123" s="308"/>
      <c r="F123" s="183"/>
      <c r="G123" s="11">
        <f>SUM(G121:G122)</f>
        <v>151.47561953333332</v>
      </c>
    </row>
    <row r="124" spans="1:8" x14ac:dyDescent="0.25">
      <c r="A124" s="20"/>
      <c r="B124" s="99"/>
      <c r="C124" s="99"/>
      <c r="D124" s="99"/>
      <c r="E124" s="99"/>
      <c r="F124" s="22"/>
      <c r="G124" s="143"/>
    </row>
    <row r="125" spans="1:8" x14ac:dyDescent="0.25">
      <c r="A125" s="29"/>
      <c r="B125" s="238" t="s">
        <v>83</v>
      </c>
      <c r="C125" s="239"/>
      <c r="D125" s="239"/>
      <c r="E125" s="239"/>
      <c r="F125" s="239"/>
      <c r="G125" s="15"/>
    </row>
    <row r="126" spans="1:8" x14ac:dyDescent="0.25">
      <c r="A126" s="5">
        <v>5</v>
      </c>
      <c r="B126" s="296" t="s">
        <v>84</v>
      </c>
      <c r="C126" s="297"/>
      <c r="D126" s="297"/>
      <c r="E126" s="297"/>
      <c r="F126" s="298"/>
      <c r="G126" s="5" t="s">
        <v>6</v>
      </c>
    </row>
    <row r="127" spans="1:8" x14ac:dyDescent="0.25">
      <c r="A127" s="5" t="s">
        <v>13</v>
      </c>
      <c r="B127" s="362" t="s">
        <v>85</v>
      </c>
      <c r="C127" s="363"/>
      <c r="D127" s="363"/>
      <c r="E127" s="363"/>
      <c r="F127" s="364"/>
      <c r="G127" s="144">
        <f>Uniformes!U22</f>
        <v>118.10368055555556</v>
      </c>
    </row>
    <row r="128" spans="1:8" x14ac:dyDescent="0.25">
      <c r="A128" s="5" t="s">
        <v>15</v>
      </c>
      <c r="B128" s="362" t="s">
        <v>182</v>
      </c>
      <c r="C128" s="363"/>
      <c r="D128" s="363"/>
      <c r="E128" s="363"/>
      <c r="F128" s="364"/>
      <c r="G128" s="144" cm="1">
        <f t="array" ref="G128:H128">'Materiais  por Demanda '!S45:T45</f>
        <v>579.41103174603188</v>
      </c>
      <c r="H128" s="1">
        <v>0</v>
      </c>
    </row>
    <row r="129" spans="1:7" ht="15" customHeight="1" x14ac:dyDescent="0.25">
      <c r="A129" s="20" t="s">
        <v>18</v>
      </c>
      <c r="B129" s="362" t="s">
        <v>204</v>
      </c>
      <c r="C129" s="363"/>
      <c r="D129" s="363"/>
      <c r="E129" s="363"/>
      <c r="F129" s="364"/>
      <c r="G129" s="144">
        <v>0</v>
      </c>
    </row>
    <row r="130" spans="1:7" x14ac:dyDescent="0.25">
      <c r="A130" s="20" t="s">
        <v>20</v>
      </c>
      <c r="B130" s="362" t="s">
        <v>99</v>
      </c>
      <c r="C130" s="363"/>
      <c r="D130" s="363"/>
      <c r="E130" s="363"/>
      <c r="F130" s="364"/>
      <c r="G130" s="35">
        <f>'Relógio de Ponto'!Q8</f>
        <v>12.53421130952381</v>
      </c>
    </row>
    <row r="131" spans="1:7" x14ac:dyDescent="0.25">
      <c r="A131" s="29"/>
      <c r="B131" s="315" t="s">
        <v>7</v>
      </c>
      <c r="C131" s="316"/>
      <c r="D131" s="316"/>
      <c r="E131" s="316"/>
      <c r="F131" s="317"/>
      <c r="G131" s="35">
        <f>SUM(G127:G130)</f>
        <v>710.04892361111126</v>
      </c>
    </row>
    <row r="132" spans="1:7" ht="26.25" customHeight="1" x14ac:dyDescent="0.25">
      <c r="A132" s="262" t="s">
        <v>130</v>
      </c>
      <c r="B132" s="263"/>
      <c r="C132" s="263"/>
      <c r="D132" s="263"/>
      <c r="E132" s="263"/>
      <c r="F132" s="263"/>
      <c r="G132" s="264"/>
    </row>
    <row r="133" spans="1:7" x14ac:dyDescent="0.25">
      <c r="A133" s="36"/>
      <c r="B133" s="30"/>
      <c r="C133" s="30"/>
      <c r="D133" s="30"/>
      <c r="E133" s="30"/>
      <c r="F133" s="22"/>
      <c r="G133" s="37"/>
    </row>
    <row r="134" spans="1:7" x14ac:dyDescent="0.25">
      <c r="A134" s="29"/>
      <c r="B134" s="238" t="s">
        <v>86</v>
      </c>
      <c r="C134" s="239"/>
      <c r="D134" s="239"/>
      <c r="E134" s="239"/>
      <c r="F134" s="239"/>
      <c r="G134" s="15"/>
    </row>
    <row r="135" spans="1:7" x14ac:dyDescent="0.25">
      <c r="A135" s="5">
        <v>6</v>
      </c>
      <c r="B135" s="299" t="s">
        <v>87</v>
      </c>
      <c r="C135" s="299"/>
      <c r="D135" s="299"/>
      <c r="E135" s="330" t="s">
        <v>50</v>
      </c>
      <c r="F135" s="330"/>
      <c r="G135" s="38" t="s">
        <v>6</v>
      </c>
    </row>
    <row r="136" spans="1:7" x14ac:dyDescent="0.25">
      <c r="A136" s="5" t="s">
        <v>13</v>
      </c>
      <c r="B136" s="331" t="s">
        <v>88</v>
      </c>
      <c r="C136" s="331"/>
      <c r="D136" s="331"/>
      <c r="E136" s="332">
        <v>0.05</v>
      </c>
      <c r="F136" s="333"/>
      <c r="G136" s="35">
        <f>(G45+G90+G100+G123+G131)*E136</f>
        <v>490.61880043152445</v>
      </c>
    </row>
    <row r="137" spans="1:7" x14ac:dyDescent="0.25">
      <c r="A137" s="5" t="s">
        <v>15</v>
      </c>
      <c r="B137" s="331" t="s">
        <v>89</v>
      </c>
      <c r="C137" s="331"/>
      <c r="D137" s="331"/>
      <c r="E137" s="332">
        <v>0.05</v>
      </c>
      <c r="F137" s="333"/>
      <c r="G137" s="35">
        <f>(G45+G90+G100+G123+G131+G136)*E137</f>
        <v>515.14974045310066</v>
      </c>
    </row>
    <row r="138" spans="1:7" x14ac:dyDescent="0.25">
      <c r="A138" s="5" t="s">
        <v>18</v>
      </c>
      <c r="B138" s="331" t="s">
        <v>90</v>
      </c>
      <c r="C138" s="331"/>
      <c r="D138" s="331"/>
      <c r="E138" s="332">
        <f>SUM(E139:F140)</f>
        <v>8.6499999999999994E-2</v>
      </c>
      <c r="F138" s="333"/>
      <c r="G138" s="33"/>
    </row>
    <row r="139" spans="1:7" x14ac:dyDescent="0.25">
      <c r="A139" s="32"/>
      <c r="B139" s="331" t="s">
        <v>131</v>
      </c>
      <c r="C139" s="331"/>
      <c r="D139" s="331"/>
      <c r="E139" s="332">
        <v>3.6499999999999998E-2</v>
      </c>
      <c r="F139" s="333"/>
      <c r="G139" s="35">
        <f>E139*G154</f>
        <v>432.25208106984303</v>
      </c>
    </row>
    <row r="140" spans="1:7" x14ac:dyDescent="0.25">
      <c r="A140" s="32"/>
      <c r="B140" s="331" t="s">
        <v>132</v>
      </c>
      <c r="C140" s="331"/>
      <c r="D140" s="331"/>
      <c r="E140" s="332">
        <v>0.05</v>
      </c>
      <c r="F140" s="333"/>
      <c r="G140" s="35">
        <f>E140*G154</f>
        <v>592.12613845183978</v>
      </c>
    </row>
    <row r="141" spans="1:7" x14ac:dyDescent="0.25">
      <c r="A141" s="29"/>
      <c r="B141" s="306" t="s">
        <v>7</v>
      </c>
      <c r="C141" s="307"/>
      <c r="D141" s="308"/>
      <c r="E141" s="334">
        <f>E136+E137+E138</f>
        <v>0.1865</v>
      </c>
      <c r="F141" s="308"/>
      <c r="G141" s="39">
        <f>SUM(G136:G140)</f>
        <v>2030.1467604063077</v>
      </c>
    </row>
    <row r="142" spans="1:7" ht="17.25" customHeight="1" x14ac:dyDescent="0.25">
      <c r="A142" s="262" t="s">
        <v>133</v>
      </c>
      <c r="B142" s="263"/>
      <c r="C142" s="263"/>
      <c r="D142" s="263"/>
      <c r="E142" s="263"/>
      <c r="F142" s="263"/>
      <c r="G142" s="264"/>
    </row>
    <row r="143" spans="1:7" x14ac:dyDescent="0.25">
      <c r="A143" s="262" t="s">
        <v>134</v>
      </c>
      <c r="B143" s="263"/>
      <c r="C143" s="263"/>
      <c r="D143" s="263"/>
      <c r="E143" s="263"/>
      <c r="F143" s="263"/>
      <c r="G143" s="264"/>
    </row>
    <row r="144" spans="1:7" x14ac:dyDescent="0.25">
      <c r="A144" s="344"/>
      <c r="B144" s="344"/>
      <c r="C144" s="344"/>
      <c r="D144" s="344"/>
      <c r="E144" s="344"/>
      <c r="F144" s="344"/>
      <c r="G144" s="345"/>
    </row>
    <row r="145" spans="1:7" x14ac:dyDescent="0.25">
      <c r="A145" s="133"/>
      <c r="B145" s="239" t="s">
        <v>91</v>
      </c>
      <c r="C145" s="239"/>
      <c r="D145" s="239"/>
      <c r="E145" s="239"/>
      <c r="F145" s="239"/>
      <c r="G145" s="15"/>
    </row>
    <row r="146" spans="1:7" x14ac:dyDescent="0.25">
      <c r="A146" s="40"/>
      <c r="B146" s="315" t="s">
        <v>92</v>
      </c>
      <c r="C146" s="316"/>
      <c r="D146" s="316"/>
      <c r="E146" s="316"/>
      <c r="F146" s="317"/>
      <c r="G146" s="40" t="s">
        <v>93</v>
      </c>
    </row>
    <row r="147" spans="1:7" x14ac:dyDescent="0.25">
      <c r="A147" s="5" t="s">
        <v>13</v>
      </c>
      <c r="B147" s="335" t="s">
        <v>135</v>
      </c>
      <c r="C147" s="336"/>
      <c r="D147" s="336"/>
      <c r="E147" s="336"/>
      <c r="F147" s="337"/>
      <c r="G147" s="41">
        <f>G45</f>
        <v>4770.0509999999995</v>
      </c>
    </row>
    <row r="148" spans="1:7" x14ac:dyDescent="0.25">
      <c r="A148" s="5" t="s">
        <v>15</v>
      </c>
      <c r="B148" s="335" t="s">
        <v>136</v>
      </c>
      <c r="C148" s="336"/>
      <c r="D148" s="336"/>
      <c r="E148" s="336"/>
      <c r="F148" s="337"/>
      <c r="G148" s="41">
        <f>G90</f>
        <v>3822.9346119162665</v>
      </c>
    </row>
    <row r="149" spans="1:7" x14ac:dyDescent="0.25">
      <c r="A149" s="5" t="s">
        <v>18</v>
      </c>
      <c r="B149" s="335" t="s">
        <v>137</v>
      </c>
      <c r="C149" s="336"/>
      <c r="D149" s="336"/>
      <c r="E149" s="336"/>
      <c r="F149" s="337"/>
      <c r="G149" s="41">
        <f>G100</f>
        <v>357.86585356977696</v>
      </c>
    </row>
    <row r="150" spans="1:7" x14ac:dyDescent="0.25">
      <c r="A150" s="5" t="s">
        <v>20</v>
      </c>
      <c r="B150" s="335" t="s">
        <v>138</v>
      </c>
      <c r="C150" s="336"/>
      <c r="D150" s="336"/>
      <c r="E150" s="336"/>
      <c r="F150" s="337"/>
      <c r="G150" s="41">
        <f>G123</f>
        <v>151.47561953333332</v>
      </c>
    </row>
    <row r="151" spans="1:7" x14ac:dyDescent="0.25">
      <c r="A151" s="5" t="s">
        <v>36</v>
      </c>
      <c r="B151" s="335" t="s">
        <v>139</v>
      </c>
      <c r="C151" s="336"/>
      <c r="D151" s="336"/>
      <c r="E151" s="336"/>
      <c r="F151" s="337"/>
      <c r="G151" s="41">
        <f>G131</f>
        <v>710.04892361111126</v>
      </c>
    </row>
    <row r="152" spans="1:7" x14ac:dyDescent="0.25">
      <c r="A152" s="42"/>
      <c r="B152" s="341" t="s">
        <v>94</v>
      </c>
      <c r="C152" s="342"/>
      <c r="D152" s="342"/>
      <c r="E152" s="342"/>
      <c r="F152" s="343"/>
      <c r="G152" s="41">
        <f>SUM(G147:G151)</f>
        <v>9812.3760086304883</v>
      </c>
    </row>
    <row r="153" spans="1:7" x14ac:dyDescent="0.25">
      <c r="A153" s="43" t="s">
        <v>38</v>
      </c>
      <c r="B153" s="335" t="s">
        <v>140</v>
      </c>
      <c r="C153" s="336"/>
      <c r="D153" s="336"/>
      <c r="E153" s="336"/>
      <c r="F153" s="337"/>
      <c r="G153" s="41">
        <f>G141</f>
        <v>2030.1467604063077</v>
      </c>
    </row>
    <row r="154" spans="1:7" x14ac:dyDescent="0.25">
      <c r="A154" s="145"/>
      <c r="B154" s="338" t="s">
        <v>95</v>
      </c>
      <c r="C154" s="339"/>
      <c r="D154" s="339"/>
      <c r="E154" s="339"/>
      <c r="F154" s="340"/>
      <c r="G154" s="190">
        <f>(G136+G137+G152)/(1-E138)</f>
        <v>11842.522769036796</v>
      </c>
    </row>
    <row r="155" spans="1:7" x14ac:dyDescent="0.25">
      <c r="G155" s="227">
        <v>11842.52</v>
      </c>
    </row>
  </sheetData>
  <mergeCells count="163">
    <mergeCell ref="B154:F154"/>
    <mergeCell ref="B148:F148"/>
    <mergeCell ref="B149:F149"/>
    <mergeCell ref="B150:F150"/>
    <mergeCell ref="B151:F151"/>
    <mergeCell ref="B152:F152"/>
    <mergeCell ref="B153:F153"/>
    <mergeCell ref="A142:G142"/>
    <mergeCell ref="A143:G143"/>
    <mergeCell ref="A144:G144"/>
    <mergeCell ref="B145:F145"/>
    <mergeCell ref="B146:F146"/>
    <mergeCell ref="B147:F147"/>
    <mergeCell ref="B139:D139"/>
    <mergeCell ref="E139:F139"/>
    <mergeCell ref="B140:D140"/>
    <mergeCell ref="E140:F140"/>
    <mergeCell ref="B141:D141"/>
    <mergeCell ref="E141:F141"/>
    <mergeCell ref="B136:D136"/>
    <mergeCell ref="E136:F136"/>
    <mergeCell ref="B137:D137"/>
    <mergeCell ref="E137:F137"/>
    <mergeCell ref="B138:D138"/>
    <mergeCell ref="E138:F138"/>
    <mergeCell ref="B130:F130"/>
    <mergeCell ref="B131:F131"/>
    <mergeCell ref="A132:G132"/>
    <mergeCell ref="B134:F134"/>
    <mergeCell ref="B135:D135"/>
    <mergeCell ref="E135:F135"/>
    <mergeCell ref="B123:E123"/>
    <mergeCell ref="B125:F125"/>
    <mergeCell ref="B126:F126"/>
    <mergeCell ref="B127:F127"/>
    <mergeCell ref="B128:F128"/>
    <mergeCell ref="B129:F129"/>
    <mergeCell ref="B120:E120"/>
    <mergeCell ref="B121:E121"/>
    <mergeCell ref="B122:E122"/>
    <mergeCell ref="A114:G114"/>
    <mergeCell ref="A115:G115"/>
    <mergeCell ref="A116:G116"/>
    <mergeCell ref="B117:E117"/>
    <mergeCell ref="B118:E118"/>
    <mergeCell ref="B119:E119"/>
    <mergeCell ref="B108:E108"/>
    <mergeCell ref="B109:E109"/>
    <mergeCell ref="B110:E110"/>
    <mergeCell ref="B111:E111"/>
    <mergeCell ref="B112:E112"/>
    <mergeCell ref="B113:E113"/>
    <mergeCell ref="B102:E102"/>
    <mergeCell ref="A103:G103"/>
    <mergeCell ref="A104:G104"/>
    <mergeCell ref="A105:G105"/>
    <mergeCell ref="B106:E106"/>
    <mergeCell ref="B107:E107"/>
    <mergeCell ref="B95:E95"/>
    <mergeCell ref="B96:E96"/>
    <mergeCell ref="B97:E97"/>
    <mergeCell ref="B98:E98"/>
    <mergeCell ref="B99:E99"/>
    <mergeCell ref="B100:E100"/>
    <mergeCell ref="B89:F89"/>
    <mergeCell ref="B90:F90"/>
    <mergeCell ref="A91:G91"/>
    <mergeCell ref="B92:E92"/>
    <mergeCell ref="B93:E93"/>
    <mergeCell ref="B94:E94"/>
    <mergeCell ref="A82:G82"/>
    <mergeCell ref="A83:G83"/>
    <mergeCell ref="B85:F85"/>
    <mergeCell ref="B86:F86"/>
    <mergeCell ref="B87:F87"/>
    <mergeCell ref="B88:F88"/>
    <mergeCell ref="B76:F76"/>
    <mergeCell ref="B77:F77"/>
    <mergeCell ref="B78:F78"/>
    <mergeCell ref="B79:F79"/>
    <mergeCell ref="B80:F80"/>
    <mergeCell ref="B81:F81"/>
    <mergeCell ref="A69:G69"/>
    <mergeCell ref="A70:G70"/>
    <mergeCell ref="A71:G71"/>
    <mergeCell ref="A73:G73"/>
    <mergeCell ref="B74:F74"/>
    <mergeCell ref="B75:F75"/>
    <mergeCell ref="B63:E63"/>
    <mergeCell ref="B64:E64"/>
    <mergeCell ref="B65:E65"/>
    <mergeCell ref="B66:E66"/>
    <mergeCell ref="B67:E67"/>
    <mergeCell ref="B68:E68"/>
    <mergeCell ref="A56:G56"/>
    <mergeCell ref="A58:G58"/>
    <mergeCell ref="B59:E59"/>
    <mergeCell ref="B60:E60"/>
    <mergeCell ref="B61:E61"/>
    <mergeCell ref="B62:E62"/>
    <mergeCell ref="B50:F50"/>
    <mergeCell ref="B51:E51"/>
    <mergeCell ref="B52:E52"/>
    <mergeCell ref="B53:E53"/>
    <mergeCell ref="A54:G54"/>
    <mergeCell ref="A55:G55"/>
    <mergeCell ref="B44:E44"/>
    <mergeCell ref="B45:E45"/>
    <mergeCell ref="A46:G46"/>
    <mergeCell ref="A47:G47"/>
    <mergeCell ref="B48:E48"/>
    <mergeCell ref="A49:G49"/>
    <mergeCell ref="B38:E38"/>
    <mergeCell ref="B39:E39"/>
    <mergeCell ref="B40:E40"/>
    <mergeCell ref="B41:E41"/>
    <mergeCell ref="B42:E42"/>
    <mergeCell ref="B43:E43"/>
    <mergeCell ref="B34:E34"/>
    <mergeCell ref="F34:G34"/>
    <mergeCell ref="B35:E35"/>
    <mergeCell ref="F35:G35"/>
    <mergeCell ref="A36:G36"/>
    <mergeCell ref="B37:E37"/>
    <mergeCell ref="A30:G30"/>
    <mergeCell ref="B31:E31"/>
    <mergeCell ref="F31:G31"/>
    <mergeCell ref="B32:E32"/>
    <mergeCell ref="F32:G32"/>
    <mergeCell ref="B33:E33"/>
    <mergeCell ref="F33:G33"/>
    <mergeCell ref="A24:D24"/>
    <mergeCell ref="F24:G24"/>
    <mergeCell ref="A25:G25"/>
    <mergeCell ref="A26:G26"/>
    <mergeCell ref="A28:G28"/>
    <mergeCell ref="A29:G29"/>
    <mergeCell ref="B19:E19"/>
    <mergeCell ref="F19:G19"/>
    <mergeCell ref="B20:E20"/>
    <mergeCell ref="F20:G20"/>
    <mergeCell ref="A22:G22"/>
    <mergeCell ref="A23:D23"/>
    <mergeCell ref="F23:G23"/>
    <mergeCell ref="B17:E17"/>
    <mergeCell ref="F17:G17"/>
    <mergeCell ref="B18:E18"/>
    <mergeCell ref="F18:G18"/>
    <mergeCell ref="A7:G7"/>
    <mergeCell ref="A8:G8"/>
    <mergeCell ref="A9:G9"/>
    <mergeCell ref="A10:G10"/>
    <mergeCell ref="A12:G12"/>
    <mergeCell ref="A13:G13"/>
    <mergeCell ref="A1:G1"/>
    <mergeCell ref="A2:G2"/>
    <mergeCell ref="A3:G3"/>
    <mergeCell ref="A4:G4"/>
    <mergeCell ref="A5:G5"/>
    <mergeCell ref="A6:G6"/>
    <mergeCell ref="A14:G14"/>
    <mergeCell ref="A15:G15"/>
    <mergeCell ref="A16:G16"/>
  </mergeCells>
  <pageMargins left="0.78740157480314965" right="0.78740157480314965" top="0.59055118110236227" bottom="0.59055118110236227" header="0.31496062992125984" footer="0.31496062992125984"/>
  <pageSetup paperSize="9" scale="90" orientation="portrait" horizontalDpi="300" verticalDpi="300" r:id="rId1"/>
  <rowBreaks count="3" manualBreakCount="3">
    <brk id="45" max="16383" man="1"/>
    <brk id="91" max="16383" man="1"/>
    <brk id="131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59"/>
  <sheetViews>
    <sheetView topLeftCell="A79" zoomScale="110" zoomScaleNormal="110" workbookViewId="0">
      <selection activeCell="B97" sqref="B97:E97"/>
    </sheetView>
  </sheetViews>
  <sheetFormatPr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2" spans="1:7" x14ac:dyDescent="0.25">
      <c r="A2" s="241" t="s">
        <v>0</v>
      </c>
      <c r="B2" s="241"/>
      <c r="C2" s="241"/>
      <c r="D2" s="241"/>
      <c r="E2" s="241"/>
      <c r="F2" s="241"/>
      <c r="G2" s="241"/>
    </row>
    <row r="3" spans="1:7" x14ac:dyDescent="0.25">
      <c r="A3" s="241" t="s">
        <v>1</v>
      </c>
      <c r="B3" s="241"/>
      <c r="C3" s="241"/>
      <c r="D3" s="241"/>
      <c r="E3" s="241"/>
      <c r="F3" s="241"/>
      <c r="G3" s="241"/>
    </row>
    <row r="4" spans="1:7" x14ac:dyDescent="0.25">
      <c r="A4" s="241" t="s">
        <v>2</v>
      </c>
      <c r="B4" s="241"/>
      <c r="C4" s="241"/>
      <c r="D4" s="241"/>
      <c r="E4" s="241"/>
      <c r="F4" s="241"/>
      <c r="G4" s="241"/>
    </row>
    <row r="5" spans="1:7" x14ac:dyDescent="0.25">
      <c r="A5" s="241" t="s">
        <v>3</v>
      </c>
      <c r="B5" s="241"/>
      <c r="C5" s="241"/>
      <c r="D5" s="241"/>
      <c r="E5" s="241"/>
      <c r="F5" s="241"/>
      <c r="G5" s="241"/>
    </row>
    <row r="6" spans="1:7" x14ac:dyDescent="0.25">
      <c r="A6" s="241" t="s">
        <v>4</v>
      </c>
      <c r="B6" s="241"/>
      <c r="C6" s="241"/>
      <c r="D6" s="241"/>
      <c r="E6" s="241"/>
      <c r="F6" s="241"/>
      <c r="G6" s="241"/>
    </row>
    <row r="7" spans="1:7" x14ac:dyDescent="0.25">
      <c r="A7" s="232"/>
      <c r="B7" s="232"/>
      <c r="C7" s="232"/>
      <c r="D7" s="232"/>
      <c r="E7" s="232"/>
      <c r="F7" s="232"/>
      <c r="G7" s="232"/>
    </row>
    <row r="8" spans="1:7" ht="56.25" customHeight="1" x14ac:dyDescent="0.25">
      <c r="A8" s="233" t="s">
        <v>143</v>
      </c>
      <c r="B8" s="233"/>
      <c r="C8" s="233"/>
      <c r="D8" s="233"/>
      <c r="E8" s="233"/>
      <c r="F8" s="233"/>
      <c r="G8" s="233"/>
    </row>
    <row r="9" spans="1:7" x14ac:dyDescent="0.25">
      <c r="A9" s="234"/>
      <c r="B9" s="234"/>
      <c r="C9" s="234"/>
      <c r="D9" s="234"/>
      <c r="E9" s="234"/>
      <c r="F9" s="234"/>
      <c r="G9" s="234"/>
    </row>
    <row r="10" spans="1:7" ht="15.75" x14ac:dyDescent="0.25">
      <c r="A10" s="235" t="s">
        <v>9</v>
      </c>
      <c r="B10" s="236"/>
      <c r="C10" s="236"/>
      <c r="D10" s="236"/>
      <c r="E10" s="236"/>
      <c r="F10" s="236"/>
      <c r="G10" s="237"/>
    </row>
    <row r="11" spans="1:7" ht="32.25" customHeight="1" x14ac:dyDescent="0.25">
      <c r="A11" s="238" t="s">
        <v>10</v>
      </c>
      <c r="B11" s="239"/>
      <c r="C11" s="239"/>
      <c r="D11" s="239"/>
      <c r="E11" s="239"/>
      <c r="F11" s="239"/>
      <c r="G11" s="240"/>
    </row>
    <row r="12" spans="1:7" x14ac:dyDescent="0.25">
      <c r="A12" s="2"/>
      <c r="B12" s="3"/>
      <c r="C12" s="3"/>
      <c r="D12" s="3"/>
      <c r="E12" s="3"/>
      <c r="F12" s="3"/>
      <c r="G12" s="4"/>
    </row>
    <row r="13" spans="1:7" x14ac:dyDescent="0.25">
      <c r="A13" s="254" t="s">
        <v>104</v>
      </c>
      <c r="B13" s="255"/>
      <c r="C13" s="255"/>
      <c r="D13" s="255"/>
      <c r="E13" s="255"/>
      <c r="F13" s="255"/>
      <c r="G13" s="256"/>
    </row>
    <row r="14" spans="1:7" x14ac:dyDescent="0.25">
      <c r="A14" s="254" t="s">
        <v>105</v>
      </c>
      <c r="B14" s="255"/>
      <c r="C14" s="255"/>
      <c r="D14" s="255"/>
      <c r="E14" s="255"/>
      <c r="F14" s="255"/>
      <c r="G14" s="256"/>
    </row>
    <row r="15" spans="1:7" x14ac:dyDescent="0.25">
      <c r="A15" s="257" t="s">
        <v>11</v>
      </c>
      <c r="B15" s="257"/>
      <c r="C15" s="257"/>
      <c r="D15" s="257"/>
      <c r="E15" s="257"/>
      <c r="F15" s="257"/>
      <c r="G15" s="257"/>
    </row>
    <row r="16" spans="1:7" x14ac:dyDescent="0.25">
      <c r="A16" s="234"/>
      <c r="B16" s="234"/>
      <c r="C16" s="234"/>
      <c r="D16" s="234"/>
      <c r="E16" s="234"/>
      <c r="F16" s="234"/>
      <c r="G16" s="234"/>
    </row>
    <row r="17" spans="1:7" x14ac:dyDescent="0.25">
      <c r="A17" s="238" t="s">
        <v>12</v>
      </c>
      <c r="B17" s="239"/>
      <c r="C17" s="239"/>
      <c r="D17" s="239"/>
      <c r="E17" s="239"/>
      <c r="F17" s="239"/>
      <c r="G17" s="240"/>
    </row>
    <row r="18" spans="1:7" ht="15.75" x14ac:dyDescent="0.25">
      <c r="A18" s="5" t="s">
        <v>13</v>
      </c>
      <c r="B18" s="242" t="s">
        <v>14</v>
      </c>
      <c r="C18" s="243"/>
      <c r="D18" s="243"/>
      <c r="E18" s="244"/>
      <c r="F18" s="348">
        <f ca="1">NOW()</f>
        <v>45671.691072337962</v>
      </c>
      <c r="G18" s="349"/>
    </row>
    <row r="19" spans="1:7" x14ac:dyDescent="0.25">
      <c r="A19" s="5" t="s">
        <v>15</v>
      </c>
      <c r="B19" s="242" t="s">
        <v>16</v>
      </c>
      <c r="C19" s="243"/>
      <c r="D19" s="243"/>
      <c r="E19" s="244"/>
      <c r="F19" s="247" t="s">
        <v>17</v>
      </c>
      <c r="G19" s="248"/>
    </row>
    <row r="20" spans="1:7" ht="29.25" customHeight="1" x14ac:dyDescent="0.25">
      <c r="A20" s="6" t="s">
        <v>18</v>
      </c>
      <c r="B20" s="249" t="s">
        <v>19</v>
      </c>
      <c r="C20" s="250"/>
      <c r="D20" s="250"/>
      <c r="E20" s="251"/>
      <c r="F20" s="252" t="s">
        <v>338</v>
      </c>
      <c r="G20" s="253"/>
    </row>
    <row r="21" spans="1:7" ht="15.75" x14ac:dyDescent="0.25">
      <c r="A21" s="5" t="s">
        <v>20</v>
      </c>
      <c r="B21" s="242" t="s">
        <v>106</v>
      </c>
      <c r="C21" s="243"/>
      <c r="D21" s="243"/>
      <c r="E21" s="244"/>
      <c r="F21" s="266">
        <v>12</v>
      </c>
      <c r="G21" s="267"/>
    </row>
    <row r="22" spans="1:7" x14ac:dyDescent="0.25">
      <c r="A22" s="7"/>
      <c r="B22" s="7"/>
      <c r="C22" s="7"/>
      <c r="D22" s="7"/>
      <c r="E22" s="7"/>
      <c r="F22" s="7"/>
      <c r="G22" s="7"/>
    </row>
    <row r="23" spans="1:7" x14ac:dyDescent="0.25">
      <c r="A23" s="238" t="s">
        <v>21</v>
      </c>
      <c r="B23" s="239"/>
      <c r="C23" s="239"/>
      <c r="D23" s="239"/>
      <c r="E23" s="239"/>
      <c r="F23" s="239"/>
      <c r="G23" s="240"/>
    </row>
    <row r="24" spans="1:7" ht="50.25" customHeight="1" x14ac:dyDescent="0.25">
      <c r="A24" s="268" t="s">
        <v>22</v>
      </c>
      <c r="B24" s="268"/>
      <c r="C24" s="268"/>
      <c r="D24" s="268"/>
      <c r="E24" s="2" t="s">
        <v>23</v>
      </c>
      <c r="F24" s="269" t="s">
        <v>24</v>
      </c>
      <c r="G24" s="270"/>
    </row>
    <row r="25" spans="1:7" ht="15.75" x14ac:dyDescent="0.25">
      <c r="A25" s="258" t="s">
        <v>180</v>
      </c>
      <c r="B25" s="259"/>
      <c r="C25" s="259"/>
      <c r="D25" s="260"/>
      <c r="E25" s="2" t="s">
        <v>25</v>
      </c>
      <c r="F25" s="261">
        <v>1</v>
      </c>
      <c r="G25" s="261"/>
    </row>
    <row r="26" spans="1:7" ht="28.5" customHeight="1" x14ac:dyDescent="0.25">
      <c r="A26" s="262" t="s">
        <v>107</v>
      </c>
      <c r="B26" s="263"/>
      <c r="C26" s="263"/>
      <c r="D26" s="263"/>
      <c r="E26" s="263"/>
      <c r="F26" s="263"/>
      <c r="G26" s="264"/>
    </row>
    <row r="27" spans="1:7" ht="33.75" customHeight="1" x14ac:dyDescent="0.25">
      <c r="A27" s="262" t="s">
        <v>108</v>
      </c>
      <c r="B27" s="263"/>
      <c r="C27" s="263"/>
      <c r="D27" s="263"/>
      <c r="E27" s="263"/>
      <c r="F27" s="263"/>
      <c r="G27" s="264"/>
    </row>
    <row r="28" spans="1:7" x14ac:dyDescent="0.25">
      <c r="A28" s="8"/>
      <c r="B28" s="9"/>
      <c r="C28" s="9"/>
      <c r="D28" s="9"/>
      <c r="E28" s="9"/>
      <c r="F28" s="9"/>
      <c r="G28" s="10"/>
    </row>
    <row r="29" spans="1:7" x14ac:dyDescent="0.25">
      <c r="A29" s="265" t="s">
        <v>26</v>
      </c>
      <c r="B29" s="265"/>
      <c r="C29" s="265"/>
      <c r="D29" s="265"/>
      <c r="E29" s="265"/>
      <c r="F29" s="265"/>
      <c r="G29" s="265"/>
    </row>
    <row r="30" spans="1:7" x14ac:dyDescent="0.25">
      <c r="A30" s="281" t="s">
        <v>27</v>
      </c>
      <c r="B30" s="281"/>
      <c r="C30" s="281"/>
      <c r="D30" s="281"/>
      <c r="E30" s="281"/>
      <c r="F30" s="281"/>
      <c r="G30" s="281"/>
    </row>
    <row r="31" spans="1:7" x14ac:dyDescent="0.25">
      <c r="A31" s="282" t="s">
        <v>28</v>
      </c>
      <c r="B31" s="282"/>
      <c r="C31" s="282"/>
      <c r="D31" s="282"/>
      <c r="E31" s="282"/>
      <c r="F31" s="282"/>
      <c r="G31" s="282"/>
    </row>
    <row r="32" spans="1:7" ht="30.75" customHeight="1" x14ac:dyDescent="0.25">
      <c r="A32" s="46">
        <v>1</v>
      </c>
      <c r="B32" s="271" t="s">
        <v>29</v>
      </c>
      <c r="C32" s="272"/>
      <c r="D32" s="272"/>
      <c r="E32" s="273"/>
      <c r="F32" s="276" t="str">
        <f>A25</f>
        <v>Bombeiro Civil  (Brigadista) Noturno</v>
      </c>
      <c r="G32" s="277"/>
    </row>
    <row r="33" spans="1:7" x14ac:dyDescent="0.25">
      <c r="A33" s="46">
        <v>2</v>
      </c>
      <c r="B33" s="271" t="s">
        <v>30</v>
      </c>
      <c r="C33" s="272"/>
      <c r="D33" s="272"/>
      <c r="E33" s="273"/>
      <c r="F33" s="276" t="s">
        <v>147</v>
      </c>
      <c r="G33" s="277"/>
    </row>
    <row r="34" spans="1:7" x14ac:dyDescent="0.25">
      <c r="A34" s="46">
        <v>3</v>
      </c>
      <c r="B34" s="271" t="s">
        <v>307</v>
      </c>
      <c r="C34" s="272"/>
      <c r="D34" s="272"/>
      <c r="E34" s="273"/>
      <c r="F34" s="274">
        <v>3669.27</v>
      </c>
      <c r="G34" s="275"/>
    </row>
    <row r="35" spans="1:7" ht="30.75" customHeight="1" x14ac:dyDescent="0.25">
      <c r="A35" s="46">
        <v>4</v>
      </c>
      <c r="B35" s="271" t="s">
        <v>31</v>
      </c>
      <c r="C35" s="272"/>
      <c r="D35" s="272"/>
      <c r="E35" s="273"/>
      <c r="F35" s="276" t="str">
        <f>A25</f>
        <v>Bombeiro Civil  (Brigadista) Noturno</v>
      </c>
      <c r="G35" s="277"/>
    </row>
    <row r="36" spans="1:7" ht="29.25" customHeight="1" x14ac:dyDescent="0.25">
      <c r="A36" s="46">
        <v>5</v>
      </c>
      <c r="B36" s="278" t="s">
        <v>309</v>
      </c>
      <c r="C36" s="278"/>
      <c r="D36" s="278"/>
      <c r="E36" s="278"/>
      <c r="F36" s="279" t="s">
        <v>96</v>
      </c>
      <c r="G36" s="280"/>
    </row>
    <row r="37" spans="1:7" ht="15" customHeight="1" x14ac:dyDescent="0.25">
      <c r="A37" s="247"/>
      <c r="B37" s="284"/>
      <c r="C37" s="284"/>
      <c r="D37" s="284"/>
      <c r="E37" s="284"/>
      <c r="F37" s="284"/>
      <c r="G37" s="248"/>
    </row>
    <row r="38" spans="1:7" x14ac:dyDescent="0.25">
      <c r="A38" s="57"/>
      <c r="B38" s="285" t="s">
        <v>109</v>
      </c>
      <c r="C38" s="285"/>
      <c r="D38" s="285"/>
      <c r="E38" s="285"/>
      <c r="F38" s="58"/>
      <c r="G38" s="59"/>
    </row>
    <row r="39" spans="1:7" x14ac:dyDescent="0.25">
      <c r="A39" s="46">
        <v>1</v>
      </c>
      <c r="B39" s="276" t="s">
        <v>32</v>
      </c>
      <c r="C39" s="283"/>
      <c r="D39" s="283"/>
      <c r="E39" s="277"/>
      <c r="F39" s="46" t="s">
        <v>33</v>
      </c>
      <c r="G39" s="46" t="s">
        <v>6</v>
      </c>
    </row>
    <row r="40" spans="1:7" x14ac:dyDescent="0.25">
      <c r="A40" s="46" t="s">
        <v>13</v>
      </c>
      <c r="B40" s="286" t="s">
        <v>142</v>
      </c>
      <c r="C40" s="272"/>
      <c r="D40" s="272"/>
      <c r="E40" s="273"/>
      <c r="F40" s="60">
        <v>1</v>
      </c>
      <c r="G40" s="56">
        <f>F34</f>
        <v>3669.27</v>
      </c>
    </row>
    <row r="41" spans="1:7" x14ac:dyDescent="0.25">
      <c r="A41" s="46" t="s">
        <v>15</v>
      </c>
      <c r="B41" s="271" t="s">
        <v>354</v>
      </c>
      <c r="C41" s="272"/>
      <c r="D41" s="272"/>
      <c r="E41" s="273"/>
      <c r="F41" s="61">
        <v>0.3</v>
      </c>
      <c r="G41" s="62">
        <f>G40*F41</f>
        <v>1100.7809999999999</v>
      </c>
    </row>
    <row r="42" spans="1:7" x14ac:dyDescent="0.25">
      <c r="A42" s="46" t="s">
        <v>18</v>
      </c>
      <c r="B42" s="271" t="s">
        <v>34</v>
      </c>
      <c r="C42" s="272"/>
      <c r="D42" s="272"/>
      <c r="E42" s="273"/>
      <c r="F42" s="60">
        <v>0</v>
      </c>
      <c r="G42" s="47">
        <f>G41*F42</f>
        <v>0</v>
      </c>
    </row>
    <row r="43" spans="1:7" ht="71.25" customHeight="1" x14ac:dyDescent="0.25">
      <c r="A43" s="46" t="s">
        <v>20</v>
      </c>
      <c r="B43" s="271" t="s">
        <v>342</v>
      </c>
      <c r="C43" s="272"/>
      <c r="D43" s="272"/>
      <c r="E43" s="273"/>
      <c r="F43" s="55">
        <v>0.22500000000000001</v>
      </c>
      <c r="G43" s="47">
        <f>((G40+G41)/180)*(7*1.1428571)*22.5%*15</f>
        <v>715.50762316846317</v>
      </c>
    </row>
    <row r="44" spans="1:7" ht="18.75" customHeight="1" x14ac:dyDescent="0.25">
      <c r="A44" s="46" t="s">
        <v>36</v>
      </c>
      <c r="B44" s="271" t="s">
        <v>149</v>
      </c>
      <c r="C44" s="272"/>
      <c r="D44" s="272"/>
      <c r="E44" s="273"/>
      <c r="F44" s="60"/>
      <c r="G44" s="47">
        <f>G43*F44</f>
        <v>0</v>
      </c>
    </row>
    <row r="45" spans="1:7" x14ac:dyDescent="0.25">
      <c r="A45" s="46" t="s">
        <v>38</v>
      </c>
      <c r="B45" s="271" t="s">
        <v>39</v>
      </c>
      <c r="C45" s="272"/>
      <c r="D45" s="272"/>
      <c r="E45" s="273"/>
      <c r="F45" s="60"/>
      <c r="G45" s="47"/>
    </row>
    <row r="46" spans="1:7" x14ac:dyDescent="0.25">
      <c r="A46" s="63"/>
      <c r="B46" s="276" t="s">
        <v>40</v>
      </c>
      <c r="C46" s="283"/>
      <c r="D46" s="283"/>
      <c r="E46" s="283"/>
      <c r="F46" s="64">
        <f>SUM(F40:F45)</f>
        <v>1.5250000000000001</v>
      </c>
      <c r="G46" s="56">
        <f>SUM(G40:G45)</f>
        <v>5485.5586231684629</v>
      </c>
    </row>
    <row r="47" spans="1:7" x14ac:dyDescent="0.25">
      <c r="A47" s="287" t="s">
        <v>110</v>
      </c>
      <c r="B47" s="288"/>
      <c r="C47" s="288"/>
      <c r="D47" s="288"/>
      <c r="E47" s="288"/>
      <c r="F47" s="288"/>
      <c r="G47" s="289"/>
    </row>
    <row r="48" spans="1:7" x14ac:dyDescent="0.25">
      <c r="A48" s="247"/>
      <c r="B48" s="284"/>
      <c r="C48" s="284"/>
      <c r="D48" s="284"/>
      <c r="E48" s="284"/>
      <c r="F48" s="284"/>
      <c r="G48" s="248"/>
    </row>
    <row r="49" spans="1:7" x14ac:dyDescent="0.25">
      <c r="A49" s="51"/>
      <c r="B49" s="290" t="s">
        <v>41</v>
      </c>
      <c r="C49" s="291"/>
      <c r="D49" s="291"/>
      <c r="E49" s="291"/>
      <c r="F49" s="54"/>
      <c r="G49" s="54"/>
    </row>
    <row r="50" spans="1:7" x14ac:dyDescent="0.25">
      <c r="A50" s="286" t="s">
        <v>42</v>
      </c>
      <c r="B50" s="292"/>
      <c r="C50" s="292"/>
      <c r="D50" s="292"/>
      <c r="E50" s="292"/>
      <c r="F50" s="292"/>
      <c r="G50" s="293"/>
    </row>
    <row r="51" spans="1:7" x14ac:dyDescent="0.25">
      <c r="A51" s="46" t="s">
        <v>43</v>
      </c>
      <c r="B51" s="286" t="s">
        <v>44</v>
      </c>
      <c r="C51" s="292"/>
      <c r="D51" s="292"/>
      <c r="E51" s="292"/>
      <c r="F51" s="293"/>
      <c r="G51" s="46" t="s">
        <v>6</v>
      </c>
    </row>
    <row r="52" spans="1:7" x14ac:dyDescent="0.25">
      <c r="A52" s="46" t="s">
        <v>13</v>
      </c>
      <c r="B52" s="271" t="s">
        <v>45</v>
      </c>
      <c r="C52" s="272"/>
      <c r="D52" s="272"/>
      <c r="E52" s="273"/>
      <c r="F52" s="55">
        <f>1/12</f>
        <v>8.3333333333333329E-2</v>
      </c>
      <c r="G52" s="47">
        <f>F52*G46</f>
        <v>457.12988526403853</v>
      </c>
    </row>
    <row r="53" spans="1:7" x14ac:dyDescent="0.25">
      <c r="A53" s="46" t="s">
        <v>15</v>
      </c>
      <c r="B53" s="271" t="s">
        <v>46</v>
      </c>
      <c r="C53" s="272"/>
      <c r="D53" s="272"/>
      <c r="E53" s="273"/>
      <c r="F53" s="55">
        <v>0.121</v>
      </c>
      <c r="G53" s="47">
        <f>F53*G46</f>
        <v>663.75259340338403</v>
      </c>
    </row>
    <row r="54" spans="1:7" x14ac:dyDescent="0.25">
      <c r="A54" s="51"/>
      <c r="B54" s="276" t="s">
        <v>7</v>
      </c>
      <c r="C54" s="283"/>
      <c r="D54" s="283"/>
      <c r="E54" s="277"/>
      <c r="F54" s="52">
        <f>SUM(F52:F53)</f>
        <v>0.20433333333333331</v>
      </c>
      <c r="G54" s="56">
        <f>SUM(G52:G53)</f>
        <v>1120.8824786674227</v>
      </c>
    </row>
    <row r="55" spans="1:7" ht="28.5" customHeight="1" x14ac:dyDescent="0.25">
      <c r="A55" s="262" t="s">
        <v>111</v>
      </c>
      <c r="B55" s="263"/>
      <c r="C55" s="263"/>
      <c r="D55" s="263"/>
      <c r="E55" s="263"/>
      <c r="F55" s="263"/>
      <c r="G55" s="264"/>
    </row>
    <row r="56" spans="1:7" ht="30" customHeight="1" x14ac:dyDescent="0.25">
      <c r="A56" s="262" t="s">
        <v>112</v>
      </c>
      <c r="B56" s="263"/>
      <c r="C56" s="263"/>
      <c r="D56" s="263"/>
      <c r="E56" s="263"/>
      <c r="F56" s="263"/>
      <c r="G56" s="264"/>
    </row>
    <row r="57" spans="1:7" ht="42.75" customHeight="1" x14ac:dyDescent="0.25">
      <c r="A57" s="294" t="s">
        <v>113</v>
      </c>
      <c r="B57" s="294"/>
      <c r="C57" s="294"/>
      <c r="D57" s="294"/>
      <c r="E57" s="294"/>
      <c r="F57" s="294"/>
      <c r="G57" s="295"/>
    </row>
    <row r="58" spans="1:7" x14ac:dyDescent="0.25">
      <c r="A58" s="16"/>
      <c r="B58" s="17"/>
      <c r="C58" s="17"/>
      <c r="D58" s="17"/>
      <c r="E58" s="17"/>
      <c r="F58" s="17"/>
      <c r="G58" s="18"/>
    </row>
    <row r="59" spans="1:7" ht="31.5" customHeight="1" x14ac:dyDescent="0.25">
      <c r="A59" s="286" t="s">
        <v>47</v>
      </c>
      <c r="B59" s="292"/>
      <c r="C59" s="292"/>
      <c r="D59" s="292"/>
      <c r="E59" s="292"/>
      <c r="F59" s="292"/>
      <c r="G59" s="293"/>
    </row>
    <row r="60" spans="1:7" ht="24" x14ac:dyDescent="0.25">
      <c r="A60" s="46" t="s">
        <v>48</v>
      </c>
      <c r="B60" s="286" t="s">
        <v>49</v>
      </c>
      <c r="C60" s="272"/>
      <c r="D60" s="272"/>
      <c r="E60" s="273"/>
      <c r="F60" s="48" t="s">
        <v>50</v>
      </c>
      <c r="G60" s="46" t="s">
        <v>6</v>
      </c>
    </row>
    <row r="61" spans="1:7" x14ac:dyDescent="0.25">
      <c r="A61" s="46" t="s">
        <v>13</v>
      </c>
      <c r="B61" s="271" t="s">
        <v>51</v>
      </c>
      <c r="C61" s="272"/>
      <c r="D61" s="272"/>
      <c r="E61" s="273"/>
      <c r="F61" s="49">
        <v>0.2</v>
      </c>
      <c r="G61" s="50">
        <f>F61*(G46+G54+G127)</f>
        <v>1356.1276126894338</v>
      </c>
    </row>
    <row r="62" spans="1:7" x14ac:dyDescent="0.25">
      <c r="A62" s="46" t="s">
        <v>15</v>
      </c>
      <c r="B62" s="271" t="s">
        <v>52</v>
      </c>
      <c r="C62" s="272"/>
      <c r="D62" s="272"/>
      <c r="E62" s="273"/>
      <c r="F62" s="49">
        <v>2.5000000000000001E-2</v>
      </c>
      <c r="G62" s="50">
        <f>F62*(G46+G54+G127)</f>
        <v>169.51595158617923</v>
      </c>
    </row>
    <row r="63" spans="1:7" x14ac:dyDescent="0.25">
      <c r="A63" s="46" t="s">
        <v>18</v>
      </c>
      <c r="B63" s="271" t="s">
        <v>53</v>
      </c>
      <c r="C63" s="272"/>
      <c r="D63" s="272"/>
      <c r="E63" s="273"/>
      <c r="F63" s="49">
        <v>0.03</v>
      </c>
      <c r="G63" s="50">
        <f>F63*(G46+G54+G127)</f>
        <v>203.41914190341507</v>
      </c>
    </row>
    <row r="64" spans="1:7" x14ac:dyDescent="0.25">
      <c r="A64" s="46" t="s">
        <v>20</v>
      </c>
      <c r="B64" s="271" t="s">
        <v>54</v>
      </c>
      <c r="C64" s="272"/>
      <c r="D64" s="272"/>
      <c r="E64" s="273"/>
      <c r="F64" s="49">
        <v>1.4999999999999999E-2</v>
      </c>
      <c r="G64" s="50">
        <f>F64*(G46+G54+G127)</f>
        <v>101.70957095170753</v>
      </c>
    </row>
    <row r="65" spans="1:7" x14ac:dyDescent="0.25">
      <c r="A65" s="46" t="s">
        <v>36</v>
      </c>
      <c r="B65" s="271" t="s">
        <v>55</v>
      </c>
      <c r="C65" s="272"/>
      <c r="D65" s="272"/>
      <c r="E65" s="273"/>
      <c r="F65" s="49">
        <v>0.01</v>
      </c>
      <c r="G65" s="50">
        <f>F65*(G46+G54+G127)</f>
        <v>67.806380634471694</v>
      </c>
    </row>
    <row r="66" spans="1:7" x14ac:dyDescent="0.25">
      <c r="A66" s="46" t="s">
        <v>38</v>
      </c>
      <c r="B66" s="271" t="s">
        <v>56</v>
      </c>
      <c r="C66" s="272"/>
      <c r="D66" s="272"/>
      <c r="E66" s="273"/>
      <c r="F66" s="49">
        <v>6.0000000000000001E-3</v>
      </c>
      <c r="G66" s="50">
        <f>F66*(G46+G54+G127)</f>
        <v>40.683828380683011</v>
      </c>
    </row>
    <row r="67" spans="1:7" x14ac:dyDescent="0.25">
      <c r="A67" s="46" t="s">
        <v>57</v>
      </c>
      <c r="B67" s="271" t="s">
        <v>58</v>
      </c>
      <c r="C67" s="272"/>
      <c r="D67" s="272"/>
      <c r="E67" s="273"/>
      <c r="F67" s="49">
        <v>2E-3</v>
      </c>
      <c r="G67" s="50">
        <f>F67*(G46+G54+G127)</f>
        <v>13.561276126894338</v>
      </c>
    </row>
    <row r="68" spans="1:7" x14ac:dyDescent="0.25">
      <c r="A68" s="46" t="s">
        <v>59</v>
      </c>
      <c r="B68" s="271" t="s">
        <v>60</v>
      </c>
      <c r="C68" s="272"/>
      <c r="D68" s="272"/>
      <c r="E68" s="273"/>
      <c r="F68" s="49">
        <v>0.08</v>
      </c>
      <c r="G68" s="50">
        <f>F68*(G46+G54+G127)</f>
        <v>542.45104507577355</v>
      </c>
    </row>
    <row r="69" spans="1:7" x14ac:dyDescent="0.25">
      <c r="A69" s="51"/>
      <c r="B69" s="276" t="s">
        <v>7</v>
      </c>
      <c r="C69" s="283"/>
      <c r="D69" s="283"/>
      <c r="E69" s="277"/>
      <c r="F69" s="52">
        <f>SUM(F61:F68)</f>
        <v>0.36800000000000005</v>
      </c>
      <c r="G69" s="53">
        <f>SUM(G61:G68)</f>
        <v>2495.2748073485582</v>
      </c>
    </row>
    <row r="70" spans="1:7" ht="23.25" customHeight="1" x14ac:dyDescent="0.25">
      <c r="A70" s="262" t="s">
        <v>114</v>
      </c>
      <c r="B70" s="263"/>
      <c r="C70" s="263"/>
      <c r="D70" s="263"/>
      <c r="E70" s="263"/>
      <c r="F70" s="263"/>
      <c r="G70" s="264"/>
    </row>
    <row r="71" spans="1:7" ht="24" customHeight="1" x14ac:dyDescent="0.25">
      <c r="A71" s="262" t="s">
        <v>115</v>
      </c>
      <c r="B71" s="263"/>
      <c r="C71" s="263"/>
      <c r="D71" s="263"/>
      <c r="E71" s="263"/>
      <c r="F71" s="263"/>
      <c r="G71" s="264"/>
    </row>
    <row r="72" spans="1:7" ht="21" customHeight="1" x14ac:dyDescent="0.25">
      <c r="A72" s="301" t="s">
        <v>61</v>
      </c>
      <c r="B72" s="302"/>
      <c r="C72" s="302"/>
      <c r="D72" s="302"/>
      <c r="E72" s="302"/>
      <c r="F72" s="302"/>
      <c r="G72" s="303"/>
    </row>
    <row r="73" spans="1:7" x14ac:dyDescent="0.25">
      <c r="A73" s="20"/>
      <c r="B73" s="21"/>
      <c r="C73" s="17"/>
      <c r="D73" s="17"/>
      <c r="E73" s="17"/>
      <c r="F73" s="22"/>
      <c r="G73" s="23"/>
    </row>
    <row r="74" spans="1:7" x14ac:dyDescent="0.25">
      <c r="A74" s="296" t="s">
        <v>62</v>
      </c>
      <c r="B74" s="297"/>
      <c r="C74" s="297"/>
      <c r="D74" s="297"/>
      <c r="E74" s="297"/>
      <c r="F74" s="297"/>
      <c r="G74" s="298"/>
    </row>
    <row r="75" spans="1:7" x14ac:dyDescent="0.25">
      <c r="A75" s="5" t="s">
        <v>63</v>
      </c>
      <c r="B75" s="299" t="s">
        <v>64</v>
      </c>
      <c r="C75" s="299"/>
      <c r="D75" s="299"/>
      <c r="E75" s="299"/>
      <c r="F75" s="299"/>
      <c r="G75" s="5" t="s">
        <v>6</v>
      </c>
    </row>
    <row r="76" spans="1:7" ht="30" customHeight="1" x14ac:dyDescent="0.25">
      <c r="A76" s="46" t="s">
        <v>13</v>
      </c>
      <c r="B76" s="278" t="s">
        <v>356</v>
      </c>
      <c r="C76" s="278"/>
      <c r="D76" s="278"/>
      <c r="E76" s="278"/>
      <c r="F76" s="278"/>
      <c r="G76" s="47">
        <v>0</v>
      </c>
    </row>
    <row r="77" spans="1:7" ht="30" customHeight="1" x14ac:dyDescent="0.25">
      <c r="A77" s="46" t="s">
        <v>15</v>
      </c>
      <c r="B77" s="278" t="s">
        <v>355</v>
      </c>
      <c r="C77" s="278"/>
      <c r="D77" s="278"/>
      <c r="E77" s="278"/>
      <c r="F77" s="278"/>
      <c r="G77" s="47">
        <f>45.23*15</f>
        <v>678.44999999999993</v>
      </c>
    </row>
    <row r="78" spans="1:7" x14ac:dyDescent="0.25">
      <c r="A78" s="46" t="s">
        <v>18</v>
      </c>
      <c r="B78" s="300" t="s">
        <v>357</v>
      </c>
      <c r="C78" s="278"/>
      <c r="D78" s="278"/>
      <c r="E78" s="278"/>
      <c r="F78" s="278"/>
      <c r="G78" s="47">
        <v>0</v>
      </c>
    </row>
    <row r="79" spans="1:7" x14ac:dyDescent="0.25">
      <c r="A79" s="46" t="s">
        <v>20</v>
      </c>
      <c r="B79" s="300" t="s">
        <v>347</v>
      </c>
      <c r="C79" s="300"/>
      <c r="D79" s="300"/>
      <c r="E79" s="300"/>
      <c r="F79" s="300"/>
      <c r="G79" s="47">
        <v>0</v>
      </c>
    </row>
    <row r="80" spans="1:7" x14ac:dyDescent="0.25">
      <c r="A80" s="5" t="s">
        <v>36</v>
      </c>
      <c r="B80" s="305" t="s">
        <v>65</v>
      </c>
      <c r="C80" s="305"/>
      <c r="D80" s="305"/>
      <c r="E80" s="305"/>
      <c r="F80" s="305"/>
      <c r="G80" s="12"/>
    </row>
    <row r="81" spans="1:7" x14ac:dyDescent="0.25">
      <c r="A81" s="46" t="s">
        <v>38</v>
      </c>
      <c r="B81" s="300" t="s">
        <v>358</v>
      </c>
      <c r="C81" s="300"/>
      <c r="D81" s="300"/>
      <c r="E81" s="300"/>
      <c r="F81" s="300"/>
      <c r="G81" s="47">
        <v>0</v>
      </c>
    </row>
    <row r="82" spans="1:7" x14ac:dyDescent="0.25">
      <c r="A82" s="13"/>
      <c r="B82" s="306" t="s">
        <v>7</v>
      </c>
      <c r="C82" s="307"/>
      <c r="D82" s="307"/>
      <c r="E82" s="307"/>
      <c r="F82" s="308"/>
      <c r="G82" s="11">
        <f>SUM(G76:G81)</f>
        <v>678.44999999999993</v>
      </c>
    </row>
    <row r="83" spans="1:7" ht="21" customHeight="1" x14ac:dyDescent="0.25">
      <c r="A83" s="262" t="s">
        <v>116</v>
      </c>
      <c r="B83" s="263"/>
      <c r="C83" s="263"/>
      <c r="D83" s="263"/>
      <c r="E83" s="263"/>
      <c r="F83" s="263"/>
      <c r="G83" s="264"/>
    </row>
    <row r="84" spans="1:7" ht="27" customHeight="1" x14ac:dyDescent="0.25">
      <c r="A84" s="262" t="s">
        <v>117</v>
      </c>
      <c r="B84" s="263"/>
      <c r="C84" s="263"/>
      <c r="D84" s="263"/>
      <c r="E84" s="263"/>
      <c r="F84" s="263"/>
      <c r="G84" s="264"/>
    </row>
    <row r="85" spans="1:7" x14ac:dyDescent="0.25">
      <c r="A85" s="16"/>
      <c r="B85" s="17"/>
      <c r="C85" s="17"/>
      <c r="D85" s="17"/>
      <c r="E85" s="17"/>
      <c r="F85" s="17"/>
      <c r="G85" s="18"/>
    </row>
    <row r="86" spans="1:7" ht="33.75" customHeight="1" x14ac:dyDescent="0.25">
      <c r="A86" s="14"/>
      <c r="B86" s="304" t="s">
        <v>66</v>
      </c>
      <c r="C86" s="304"/>
      <c r="D86" s="304"/>
      <c r="E86" s="304"/>
      <c r="F86" s="304"/>
      <c r="G86" s="24"/>
    </row>
    <row r="87" spans="1:7" x14ac:dyDescent="0.25">
      <c r="A87" s="46">
        <v>2</v>
      </c>
      <c r="B87" s="282" t="s">
        <v>67</v>
      </c>
      <c r="C87" s="282"/>
      <c r="D87" s="282"/>
      <c r="E87" s="282"/>
      <c r="F87" s="282"/>
      <c r="G87" s="46" t="s">
        <v>6</v>
      </c>
    </row>
    <row r="88" spans="1:7" x14ac:dyDescent="0.25">
      <c r="A88" s="46" t="s">
        <v>43</v>
      </c>
      <c r="B88" s="278" t="s">
        <v>68</v>
      </c>
      <c r="C88" s="278"/>
      <c r="D88" s="278"/>
      <c r="E88" s="278"/>
      <c r="F88" s="278"/>
      <c r="G88" s="47">
        <f>G54</f>
        <v>1120.8824786674227</v>
      </c>
    </row>
    <row r="89" spans="1:7" x14ac:dyDescent="0.25">
      <c r="A89" s="46" t="s">
        <v>48</v>
      </c>
      <c r="B89" s="278" t="s">
        <v>49</v>
      </c>
      <c r="C89" s="278"/>
      <c r="D89" s="278"/>
      <c r="E89" s="278"/>
      <c r="F89" s="278"/>
      <c r="G89" s="47">
        <f>G69</f>
        <v>2495.2748073485582</v>
      </c>
    </row>
    <row r="90" spans="1:7" x14ac:dyDescent="0.25">
      <c r="A90" s="46" t="s">
        <v>63</v>
      </c>
      <c r="B90" s="278" t="s">
        <v>64</v>
      </c>
      <c r="C90" s="278"/>
      <c r="D90" s="278"/>
      <c r="E90" s="278"/>
      <c r="F90" s="278"/>
      <c r="G90" s="47">
        <f>G82</f>
        <v>678.44999999999993</v>
      </c>
    </row>
    <row r="91" spans="1:7" x14ac:dyDescent="0.25">
      <c r="A91" s="25"/>
      <c r="B91" s="309" t="s">
        <v>7</v>
      </c>
      <c r="C91" s="310"/>
      <c r="D91" s="310"/>
      <c r="E91" s="310"/>
      <c r="F91" s="311"/>
      <c r="G91" s="11">
        <f>SUM(G88:G90)</f>
        <v>4294.6072860159811</v>
      </c>
    </row>
    <row r="92" spans="1:7" x14ac:dyDescent="0.25">
      <c r="A92" s="312"/>
      <c r="B92" s="313"/>
      <c r="C92" s="313"/>
      <c r="D92" s="313"/>
      <c r="E92" s="313"/>
      <c r="F92" s="313"/>
      <c r="G92" s="314"/>
    </row>
    <row r="93" spans="1:7" x14ac:dyDescent="0.25">
      <c r="A93" s="26"/>
      <c r="B93" s="238" t="s">
        <v>69</v>
      </c>
      <c r="C93" s="239"/>
      <c r="D93" s="239"/>
      <c r="E93" s="240"/>
      <c r="F93" s="15"/>
      <c r="G93" s="15"/>
    </row>
    <row r="94" spans="1:7" ht="24" x14ac:dyDescent="0.25">
      <c r="A94" s="5">
        <v>3</v>
      </c>
      <c r="B94" s="315" t="s">
        <v>70</v>
      </c>
      <c r="C94" s="316"/>
      <c r="D94" s="316"/>
      <c r="E94" s="317"/>
      <c r="F94" s="19" t="s">
        <v>50</v>
      </c>
      <c r="G94" s="5" t="s">
        <v>6</v>
      </c>
    </row>
    <row r="95" spans="1:7" ht="37.5" customHeight="1" x14ac:dyDescent="0.25">
      <c r="A95" s="65" t="s">
        <v>13</v>
      </c>
      <c r="B95" s="271" t="s">
        <v>118</v>
      </c>
      <c r="C95" s="272"/>
      <c r="D95" s="272"/>
      <c r="E95" s="273"/>
      <c r="F95" s="66">
        <v>4.1700000000000001E-3</v>
      </c>
      <c r="G95" s="47">
        <f>F95*(G46+G54)</f>
        <v>27.548859394655643</v>
      </c>
    </row>
    <row r="96" spans="1:7" ht="21" customHeight="1" x14ac:dyDescent="0.25">
      <c r="A96" s="65" t="s">
        <v>15</v>
      </c>
      <c r="B96" s="271" t="s">
        <v>119</v>
      </c>
      <c r="C96" s="272"/>
      <c r="D96" s="272"/>
      <c r="E96" s="273"/>
      <c r="F96" s="66">
        <f>F68*F95</f>
        <v>3.3360000000000003E-4</v>
      </c>
      <c r="G96" s="47">
        <f>F96*(G46+G54)</f>
        <v>2.2039087515724516</v>
      </c>
    </row>
    <row r="97" spans="1:7" ht="49.5" customHeight="1" x14ac:dyDescent="0.25">
      <c r="A97" s="46" t="s">
        <v>18</v>
      </c>
      <c r="B97" s="271" t="s">
        <v>120</v>
      </c>
      <c r="C97" s="272"/>
      <c r="D97" s="272"/>
      <c r="E97" s="273"/>
      <c r="F97" s="66">
        <f xml:space="preserve"> (40%)*F95</f>
        <v>1.6680000000000002E-3</v>
      </c>
      <c r="G97" s="47">
        <f>F97*(G46+G54)</f>
        <v>11.019543757862259</v>
      </c>
    </row>
    <row r="98" spans="1:7" ht="48" customHeight="1" x14ac:dyDescent="0.25">
      <c r="A98" s="46" t="s">
        <v>20</v>
      </c>
      <c r="B98" s="271" t="s">
        <v>121</v>
      </c>
      <c r="C98" s="272"/>
      <c r="D98" s="272"/>
      <c r="E98" s="273"/>
      <c r="F98" s="66">
        <f>(7/30)/12</f>
        <v>1.9444444444444445E-2</v>
      </c>
      <c r="G98" s="47">
        <f>F98*(G46+G54)</f>
        <v>128.45857698014223</v>
      </c>
    </row>
    <row r="99" spans="1:7" ht="39" customHeight="1" x14ac:dyDescent="0.25">
      <c r="A99" s="46" t="s">
        <v>36</v>
      </c>
      <c r="B99" s="271" t="s">
        <v>144</v>
      </c>
      <c r="C99" s="272"/>
      <c r="D99" s="272"/>
      <c r="E99" s="273"/>
      <c r="F99" s="66">
        <f>F69*F98</f>
        <v>7.1555555555555565E-3</v>
      </c>
      <c r="G99" s="47">
        <f>F99*(G46+G54)</f>
        <v>47.272756328692346</v>
      </c>
    </row>
    <row r="100" spans="1:7" ht="29.25" customHeight="1" x14ac:dyDescent="0.25">
      <c r="A100" s="46" t="s">
        <v>38</v>
      </c>
      <c r="B100" s="271" t="s">
        <v>122</v>
      </c>
      <c r="C100" s="272"/>
      <c r="D100" s="272"/>
      <c r="E100" s="273"/>
      <c r="F100" s="55">
        <f>(1+(1/12)+(1/3/12))*0.08*0.4</f>
        <v>3.5555555555555556E-2</v>
      </c>
      <c r="G100" s="47">
        <f>F100*G46</f>
        <v>195.04208437932311</v>
      </c>
    </row>
    <row r="101" spans="1:7" x14ac:dyDescent="0.25">
      <c r="A101" s="27"/>
      <c r="B101" s="321" t="s">
        <v>7</v>
      </c>
      <c r="C101" s="322"/>
      <c r="D101" s="322"/>
      <c r="E101" s="323"/>
      <c r="F101" s="28">
        <f>SUM(F95:F100)</f>
        <v>6.8327155555555547E-2</v>
      </c>
      <c r="G101" s="11">
        <f>SUM(G95:G100)</f>
        <v>411.54572959224799</v>
      </c>
    </row>
    <row r="102" spans="1:7" x14ac:dyDescent="0.25">
      <c r="A102" s="29"/>
      <c r="B102" s="30"/>
      <c r="C102" s="30"/>
      <c r="D102" s="30"/>
      <c r="E102" s="30"/>
      <c r="F102" s="30"/>
      <c r="G102" s="31"/>
    </row>
    <row r="103" spans="1:7" x14ac:dyDescent="0.25">
      <c r="A103" s="14"/>
      <c r="B103" s="238" t="s">
        <v>71</v>
      </c>
      <c r="C103" s="239"/>
      <c r="D103" s="239"/>
      <c r="E103" s="240"/>
      <c r="F103" s="15"/>
      <c r="G103" s="15"/>
    </row>
    <row r="104" spans="1:7" ht="37.5" customHeight="1" x14ac:dyDescent="0.25">
      <c r="A104" s="324" t="s">
        <v>123</v>
      </c>
      <c r="B104" s="263"/>
      <c r="C104" s="263"/>
      <c r="D104" s="263"/>
      <c r="E104" s="263"/>
      <c r="F104" s="263"/>
      <c r="G104" s="264"/>
    </row>
    <row r="105" spans="1:7" x14ac:dyDescent="0.25">
      <c r="A105" s="247"/>
      <c r="B105" s="284"/>
      <c r="C105" s="284"/>
      <c r="D105" s="284"/>
      <c r="E105" s="284"/>
      <c r="F105" s="284"/>
      <c r="G105" s="248"/>
    </row>
    <row r="106" spans="1:7" x14ac:dyDescent="0.25">
      <c r="A106" s="318" t="s">
        <v>72</v>
      </c>
      <c r="B106" s="319"/>
      <c r="C106" s="319"/>
      <c r="D106" s="319"/>
      <c r="E106" s="319"/>
      <c r="F106" s="319"/>
      <c r="G106" s="320"/>
    </row>
    <row r="107" spans="1:7" ht="24" x14ac:dyDescent="0.25">
      <c r="A107" s="20" t="s">
        <v>73</v>
      </c>
      <c r="B107" s="315" t="s">
        <v>74</v>
      </c>
      <c r="C107" s="316"/>
      <c r="D107" s="316"/>
      <c r="E107" s="316"/>
      <c r="F107" s="19" t="s">
        <v>50</v>
      </c>
      <c r="G107" s="5" t="s">
        <v>6</v>
      </c>
    </row>
    <row r="108" spans="1:7" x14ac:dyDescent="0.25">
      <c r="A108" s="46" t="s">
        <v>13</v>
      </c>
      <c r="B108" s="271" t="s">
        <v>75</v>
      </c>
      <c r="C108" s="272"/>
      <c r="D108" s="272"/>
      <c r="E108" s="272"/>
      <c r="F108" s="55">
        <f>(8.33%+(8.33%*1/3))/12</f>
        <v>9.2555555555555551E-3</v>
      </c>
      <c r="G108" s="47">
        <f>F108*G46</f>
        <v>50.771892589992547</v>
      </c>
    </row>
    <row r="109" spans="1:7" x14ac:dyDescent="0.25">
      <c r="A109" s="46" t="s">
        <v>15</v>
      </c>
      <c r="B109" s="271" t="s">
        <v>124</v>
      </c>
      <c r="C109" s="272"/>
      <c r="D109" s="272"/>
      <c r="E109" s="272"/>
      <c r="F109" s="55">
        <f>(1/12)/30</f>
        <v>2.7777777777777775E-3</v>
      </c>
      <c r="G109" s="47">
        <f>F109*G46</f>
        <v>15.237662842134617</v>
      </c>
    </row>
    <row r="110" spans="1:7" x14ac:dyDescent="0.25">
      <c r="A110" s="46" t="s">
        <v>18</v>
      </c>
      <c r="B110" s="271" t="s">
        <v>125</v>
      </c>
      <c r="C110" s="272"/>
      <c r="D110" s="272"/>
      <c r="E110" s="272"/>
      <c r="F110" s="67">
        <f>1.5%/12</f>
        <v>1.25E-3</v>
      </c>
      <c r="G110" s="47">
        <f>F110*G46</f>
        <v>6.8569482789605791</v>
      </c>
    </row>
    <row r="111" spans="1:7" ht="33" customHeight="1" x14ac:dyDescent="0.25">
      <c r="A111" s="46" t="s">
        <v>20</v>
      </c>
      <c r="B111" s="271" t="s">
        <v>126</v>
      </c>
      <c r="C111" s="272"/>
      <c r="D111" s="272"/>
      <c r="E111" s="272"/>
      <c r="F111" s="66">
        <f>8%/12/2</f>
        <v>3.3333333333333335E-3</v>
      </c>
      <c r="G111" s="47">
        <f>F111*G46</f>
        <v>18.285195410561546</v>
      </c>
    </row>
    <row r="112" spans="1:7" ht="28.5" customHeight="1" x14ac:dyDescent="0.25">
      <c r="A112" s="46" t="s">
        <v>36</v>
      </c>
      <c r="B112" s="271" t="s">
        <v>127</v>
      </c>
      <c r="C112" s="272"/>
      <c r="D112" s="272"/>
      <c r="E112" s="272"/>
      <c r="F112" s="68">
        <f>1.5%/12</f>
        <v>1.25E-3</v>
      </c>
      <c r="G112" s="47">
        <f>F112*G46</f>
        <v>6.8569482789605791</v>
      </c>
    </row>
    <row r="113" spans="1:7" x14ac:dyDescent="0.25">
      <c r="A113" s="46" t="s">
        <v>38</v>
      </c>
      <c r="B113" s="271" t="s">
        <v>145</v>
      </c>
      <c r="C113" s="272"/>
      <c r="D113" s="272"/>
      <c r="E113" s="272"/>
      <c r="F113" s="55">
        <f>(5/12)/30</f>
        <v>1.388888888888889E-2</v>
      </c>
      <c r="G113" s="47">
        <f>F113*G46</f>
        <v>76.188314210673099</v>
      </c>
    </row>
    <row r="114" spans="1:7" x14ac:dyDescent="0.25">
      <c r="A114" s="69"/>
      <c r="B114" s="276" t="s">
        <v>7</v>
      </c>
      <c r="C114" s="283"/>
      <c r="D114" s="283"/>
      <c r="E114" s="277"/>
      <c r="F114" s="55">
        <f>SUM(F108:F113)</f>
        <v>3.1755555555555558E-2</v>
      </c>
      <c r="G114" s="56">
        <f>SUM(G108:G113)</f>
        <v>174.19696161128294</v>
      </c>
    </row>
    <row r="115" spans="1:7" ht="44.25" customHeight="1" x14ac:dyDescent="0.25">
      <c r="A115" s="262" t="s">
        <v>128</v>
      </c>
      <c r="B115" s="263"/>
      <c r="C115" s="263"/>
      <c r="D115" s="263"/>
      <c r="E115" s="263"/>
      <c r="F115" s="263"/>
      <c r="G115" s="264"/>
    </row>
    <row r="116" spans="1:7" x14ac:dyDescent="0.25">
      <c r="A116" s="315"/>
      <c r="B116" s="316"/>
      <c r="C116" s="316"/>
      <c r="D116" s="316"/>
      <c r="E116" s="316"/>
      <c r="F116" s="316"/>
      <c r="G116" s="317"/>
    </row>
    <row r="117" spans="1:7" x14ac:dyDescent="0.25">
      <c r="A117" s="286" t="s">
        <v>76</v>
      </c>
      <c r="B117" s="292"/>
      <c r="C117" s="292"/>
      <c r="D117" s="292"/>
      <c r="E117" s="292"/>
      <c r="F117" s="292"/>
      <c r="G117" s="293"/>
    </row>
    <row r="118" spans="1:7" ht="24" x14ac:dyDescent="0.25">
      <c r="A118" s="46" t="s">
        <v>77</v>
      </c>
      <c r="B118" s="276" t="s">
        <v>78</v>
      </c>
      <c r="C118" s="283"/>
      <c r="D118" s="283"/>
      <c r="E118" s="277"/>
      <c r="F118" s="48" t="s">
        <v>50</v>
      </c>
      <c r="G118" s="46" t="s">
        <v>6</v>
      </c>
    </row>
    <row r="119" spans="1:7" x14ac:dyDescent="0.25">
      <c r="A119" s="46" t="s">
        <v>13</v>
      </c>
      <c r="B119" s="271" t="s">
        <v>79</v>
      </c>
      <c r="C119" s="272"/>
      <c r="D119" s="272"/>
      <c r="E119" s="273"/>
      <c r="F119" s="70"/>
      <c r="G119" s="47"/>
    </row>
    <row r="120" spans="1:7" x14ac:dyDescent="0.25">
      <c r="A120" s="51"/>
      <c r="B120" s="276" t="s">
        <v>7</v>
      </c>
      <c r="C120" s="283"/>
      <c r="D120" s="283"/>
      <c r="E120" s="277"/>
      <c r="F120" s="70"/>
      <c r="G120" s="47"/>
    </row>
    <row r="121" spans="1:7" ht="24.75" customHeight="1" x14ac:dyDescent="0.25">
      <c r="A121" s="325" t="s">
        <v>129</v>
      </c>
      <c r="B121" s="326"/>
      <c r="C121" s="326"/>
      <c r="D121" s="326"/>
      <c r="E121" s="326"/>
      <c r="F121" s="326"/>
      <c r="G121" s="327"/>
    </row>
    <row r="122" spans="1:7" x14ac:dyDescent="0.25">
      <c r="A122" s="328"/>
      <c r="B122" s="329"/>
      <c r="C122" s="329"/>
      <c r="D122" s="329"/>
      <c r="E122" s="329"/>
      <c r="F122" s="329"/>
      <c r="G122" s="280"/>
    </row>
    <row r="123" spans="1:7" x14ac:dyDescent="0.25">
      <c r="A123" s="51"/>
      <c r="B123" s="290" t="s">
        <v>80</v>
      </c>
      <c r="C123" s="291"/>
      <c r="D123" s="291"/>
      <c r="E123" s="291"/>
      <c r="F123" s="291"/>
      <c r="G123" s="54"/>
    </row>
    <row r="124" spans="1:7" ht="24" x14ac:dyDescent="0.25">
      <c r="A124" s="46">
        <v>4</v>
      </c>
      <c r="B124" s="282" t="s">
        <v>81</v>
      </c>
      <c r="C124" s="282"/>
      <c r="D124" s="282"/>
      <c r="E124" s="282"/>
      <c r="F124" s="48" t="s">
        <v>50</v>
      </c>
      <c r="G124" s="46" t="s">
        <v>6</v>
      </c>
    </row>
    <row r="125" spans="1:7" x14ac:dyDescent="0.25">
      <c r="A125" s="46" t="s">
        <v>73</v>
      </c>
      <c r="B125" s="278" t="s">
        <v>82</v>
      </c>
      <c r="C125" s="278"/>
      <c r="D125" s="278"/>
      <c r="E125" s="278"/>
      <c r="F125" s="55">
        <f>F114</f>
        <v>3.1755555555555558E-2</v>
      </c>
      <c r="G125" s="50">
        <f>G114</f>
        <v>174.19696161128294</v>
      </c>
    </row>
    <row r="126" spans="1:7" x14ac:dyDescent="0.25">
      <c r="A126" s="46" t="s">
        <v>77</v>
      </c>
      <c r="B126" s="278" t="s">
        <v>78</v>
      </c>
      <c r="C126" s="278"/>
      <c r="D126" s="278"/>
      <c r="E126" s="278"/>
      <c r="F126" s="52"/>
      <c r="G126" s="71"/>
    </row>
    <row r="127" spans="1:7" x14ac:dyDescent="0.25">
      <c r="A127" s="54"/>
      <c r="B127" s="276" t="s">
        <v>7</v>
      </c>
      <c r="C127" s="283"/>
      <c r="D127" s="283"/>
      <c r="E127" s="277"/>
      <c r="F127" s="52"/>
      <c r="G127" s="56">
        <f>SUM(G125:G126)</f>
        <v>174.19696161128294</v>
      </c>
    </row>
    <row r="128" spans="1:7" x14ac:dyDescent="0.25">
      <c r="A128" s="72"/>
      <c r="B128" s="73"/>
      <c r="C128" s="73"/>
      <c r="D128" s="73"/>
      <c r="E128" s="73"/>
      <c r="F128" s="74"/>
      <c r="G128" s="75"/>
    </row>
    <row r="129" spans="1:8" x14ac:dyDescent="0.25">
      <c r="A129" s="51"/>
      <c r="B129" s="290" t="s">
        <v>83</v>
      </c>
      <c r="C129" s="291"/>
      <c r="D129" s="291"/>
      <c r="E129" s="291"/>
      <c r="F129" s="291"/>
      <c r="G129" s="54"/>
    </row>
    <row r="130" spans="1:8" x14ac:dyDescent="0.25">
      <c r="A130" s="46">
        <v>5</v>
      </c>
      <c r="B130" s="286" t="s">
        <v>84</v>
      </c>
      <c r="C130" s="292"/>
      <c r="D130" s="292"/>
      <c r="E130" s="292"/>
      <c r="F130" s="293"/>
      <c r="G130" s="46" t="s">
        <v>6</v>
      </c>
    </row>
    <row r="131" spans="1:8" x14ac:dyDescent="0.25">
      <c r="A131" s="46" t="s">
        <v>13</v>
      </c>
      <c r="B131" s="271" t="s">
        <v>85</v>
      </c>
      <c r="C131" s="272"/>
      <c r="D131" s="272"/>
      <c r="E131" s="272"/>
      <c r="F131" s="273"/>
      <c r="G131" s="76">
        <f>Uniformes!U22</f>
        <v>118.10368055555556</v>
      </c>
    </row>
    <row r="132" spans="1:8" x14ac:dyDescent="0.25">
      <c r="A132" s="46" t="s">
        <v>15</v>
      </c>
      <c r="B132" s="271" t="s">
        <v>203</v>
      </c>
      <c r="C132" s="272"/>
      <c r="D132" s="272"/>
      <c r="E132" s="272"/>
      <c r="F132" s="273"/>
      <c r="G132" s="76" cm="1">
        <f t="array" ref="G132:H132">'Materiais  por Demanda '!S45:T45</f>
        <v>579.41103174603188</v>
      </c>
      <c r="H132" s="1">
        <v>0</v>
      </c>
    </row>
    <row r="133" spans="1:8" ht="15" customHeight="1" x14ac:dyDescent="0.25">
      <c r="A133" s="72" t="s">
        <v>18</v>
      </c>
      <c r="B133" s="271" t="s">
        <v>204</v>
      </c>
      <c r="C133" s="272"/>
      <c r="D133" s="272"/>
      <c r="E133" s="272"/>
      <c r="F133" s="273"/>
      <c r="G133" s="76">
        <v>0</v>
      </c>
    </row>
    <row r="134" spans="1:8" x14ac:dyDescent="0.25">
      <c r="A134" s="72" t="s">
        <v>20</v>
      </c>
      <c r="B134" s="271" t="s">
        <v>99</v>
      </c>
      <c r="C134" s="272"/>
      <c r="D134" s="272"/>
      <c r="E134" s="272"/>
      <c r="F134" s="273"/>
      <c r="G134" s="56">
        <f>'Relógio de Ponto'!Q8</f>
        <v>12.53421130952381</v>
      </c>
    </row>
    <row r="135" spans="1:8" x14ac:dyDescent="0.25">
      <c r="A135" s="14"/>
      <c r="B135" s="306" t="s">
        <v>7</v>
      </c>
      <c r="C135" s="307"/>
      <c r="D135" s="307"/>
      <c r="E135" s="307"/>
      <c r="F135" s="308"/>
      <c r="G135" s="11">
        <f>SUM(G131:G134)</f>
        <v>710.04892361111126</v>
      </c>
    </row>
    <row r="136" spans="1:8" ht="26.25" customHeight="1" x14ac:dyDescent="0.25">
      <c r="A136" s="262" t="s">
        <v>130</v>
      </c>
      <c r="B136" s="263"/>
      <c r="C136" s="263"/>
      <c r="D136" s="263"/>
      <c r="E136" s="263"/>
      <c r="F136" s="263"/>
      <c r="G136" s="264"/>
    </row>
    <row r="137" spans="1:8" x14ac:dyDescent="0.25">
      <c r="A137" s="36"/>
      <c r="B137" s="30"/>
      <c r="C137" s="30"/>
      <c r="D137" s="30"/>
      <c r="E137" s="30"/>
      <c r="F137" s="22"/>
      <c r="G137" s="37"/>
    </row>
    <row r="138" spans="1:8" x14ac:dyDescent="0.25">
      <c r="A138" s="14"/>
      <c r="B138" s="238" t="s">
        <v>86</v>
      </c>
      <c r="C138" s="239"/>
      <c r="D138" s="239"/>
      <c r="E138" s="239"/>
      <c r="F138" s="239"/>
      <c r="G138" s="15"/>
    </row>
    <row r="139" spans="1:8" x14ac:dyDescent="0.25">
      <c r="A139" s="5">
        <v>6</v>
      </c>
      <c r="B139" s="299" t="s">
        <v>87</v>
      </c>
      <c r="C139" s="299"/>
      <c r="D139" s="299"/>
      <c r="E139" s="330" t="s">
        <v>50</v>
      </c>
      <c r="F139" s="330"/>
      <c r="G139" s="38" t="s">
        <v>6</v>
      </c>
    </row>
    <row r="140" spans="1:8" x14ac:dyDescent="0.25">
      <c r="A140" s="5" t="s">
        <v>13</v>
      </c>
      <c r="B140" s="331" t="s">
        <v>88</v>
      </c>
      <c r="C140" s="331"/>
      <c r="D140" s="331"/>
      <c r="E140" s="332">
        <v>0.05</v>
      </c>
      <c r="F140" s="333"/>
      <c r="G140" s="35">
        <f>(G46+G91+G101+G127+G135)*E140</f>
        <v>553.79787619995443</v>
      </c>
    </row>
    <row r="141" spans="1:8" x14ac:dyDescent="0.25">
      <c r="A141" s="5" t="s">
        <v>15</v>
      </c>
      <c r="B141" s="331" t="s">
        <v>89</v>
      </c>
      <c r="C141" s="331"/>
      <c r="D141" s="331"/>
      <c r="E141" s="332">
        <v>0.05</v>
      </c>
      <c r="F141" s="333"/>
      <c r="G141" s="35">
        <f>(G46+G91+G101+G127+G135+G140)*E141</f>
        <v>581.48777000995221</v>
      </c>
    </row>
    <row r="142" spans="1:8" x14ac:dyDescent="0.25">
      <c r="A142" s="5" t="s">
        <v>18</v>
      </c>
      <c r="B142" s="331" t="s">
        <v>90</v>
      </c>
      <c r="C142" s="331"/>
      <c r="D142" s="331"/>
      <c r="E142" s="332">
        <f>SUM(E143:F144)</f>
        <v>8.6499999999999994E-2</v>
      </c>
      <c r="F142" s="333"/>
      <c r="G142" s="33"/>
    </row>
    <row r="143" spans="1:8" x14ac:dyDescent="0.25">
      <c r="A143" s="32"/>
      <c r="B143" s="331" t="s">
        <v>131</v>
      </c>
      <c r="C143" s="331"/>
      <c r="D143" s="331"/>
      <c r="E143" s="332">
        <v>3.6499999999999998E-2</v>
      </c>
      <c r="F143" s="333"/>
      <c r="G143" s="35">
        <f>E143*G158</f>
        <v>487.91502541064943</v>
      </c>
    </row>
    <row r="144" spans="1:8" x14ac:dyDescent="0.25">
      <c r="A144" s="32"/>
      <c r="B144" s="331" t="s">
        <v>132</v>
      </c>
      <c r="C144" s="331"/>
      <c r="D144" s="331"/>
      <c r="E144" s="332">
        <v>0.05</v>
      </c>
      <c r="F144" s="333"/>
      <c r="G144" s="35">
        <f>E144*G158</f>
        <v>668.37674713787601</v>
      </c>
    </row>
    <row r="145" spans="1:7" x14ac:dyDescent="0.25">
      <c r="A145" s="14"/>
      <c r="B145" s="306" t="s">
        <v>7</v>
      </c>
      <c r="C145" s="307"/>
      <c r="D145" s="308"/>
      <c r="E145" s="334">
        <f>E140+E141+E142</f>
        <v>0.1865</v>
      </c>
      <c r="F145" s="308"/>
      <c r="G145" s="39">
        <f>SUM(G140:G144)</f>
        <v>2291.577418758432</v>
      </c>
    </row>
    <row r="146" spans="1:7" ht="17.25" customHeight="1" x14ac:dyDescent="0.25">
      <c r="A146" s="262" t="s">
        <v>133</v>
      </c>
      <c r="B146" s="263"/>
      <c r="C146" s="263"/>
      <c r="D146" s="263"/>
      <c r="E146" s="263"/>
      <c r="F146" s="263"/>
      <c r="G146" s="264"/>
    </row>
    <row r="147" spans="1:7" x14ac:dyDescent="0.25">
      <c r="A147" s="262" t="s">
        <v>134</v>
      </c>
      <c r="B147" s="263"/>
      <c r="C147" s="263"/>
      <c r="D147" s="263"/>
      <c r="E147" s="263"/>
      <c r="F147" s="263"/>
      <c r="G147" s="264"/>
    </row>
    <row r="148" spans="1:7" x14ac:dyDescent="0.25">
      <c r="A148" s="344"/>
      <c r="B148" s="344"/>
      <c r="C148" s="344"/>
      <c r="D148" s="344"/>
      <c r="E148" s="344"/>
      <c r="F148" s="344"/>
      <c r="G148" s="345"/>
    </row>
    <row r="149" spans="1:7" x14ac:dyDescent="0.25">
      <c r="A149" s="34"/>
      <c r="B149" s="239" t="s">
        <v>91</v>
      </c>
      <c r="C149" s="239"/>
      <c r="D149" s="239"/>
      <c r="E149" s="239"/>
      <c r="F149" s="239"/>
      <c r="G149" s="15"/>
    </row>
    <row r="150" spans="1:7" x14ac:dyDescent="0.25">
      <c r="A150" s="40"/>
      <c r="B150" s="315" t="s">
        <v>92</v>
      </c>
      <c r="C150" s="316"/>
      <c r="D150" s="316"/>
      <c r="E150" s="316"/>
      <c r="F150" s="317"/>
      <c r="G150" s="40" t="s">
        <v>93</v>
      </c>
    </row>
    <row r="151" spans="1:7" x14ac:dyDescent="0.25">
      <c r="A151" s="5" t="s">
        <v>13</v>
      </c>
      <c r="B151" s="335" t="s">
        <v>135</v>
      </c>
      <c r="C151" s="336"/>
      <c r="D151" s="336"/>
      <c r="E151" s="336"/>
      <c r="F151" s="337"/>
      <c r="G151" s="41">
        <f>G46</f>
        <v>5485.5586231684629</v>
      </c>
    </row>
    <row r="152" spans="1:7" x14ac:dyDescent="0.25">
      <c r="A152" s="5" t="s">
        <v>15</v>
      </c>
      <c r="B152" s="335" t="s">
        <v>136</v>
      </c>
      <c r="C152" s="336"/>
      <c r="D152" s="336"/>
      <c r="E152" s="336"/>
      <c r="F152" s="337"/>
      <c r="G152" s="41">
        <f>G91</f>
        <v>4294.6072860159811</v>
      </c>
    </row>
    <row r="153" spans="1:7" x14ac:dyDescent="0.25">
      <c r="A153" s="5" t="s">
        <v>18</v>
      </c>
      <c r="B153" s="335" t="s">
        <v>137</v>
      </c>
      <c r="C153" s="336"/>
      <c r="D153" s="336"/>
      <c r="E153" s="336"/>
      <c r="F153" s="337"/>
      <c r="G153" s="41">
        <f>G101</f>
        <v>411.54572959224799</v>
      </c>
    </row>
    <row r="154" spans="1:7" x14ac:dyDescent="0.25">
      <c r="A154" s="5" t="s">
        <v>20</v>
      </c>
      <c r="B154" s="335" t="s">
        <v>138</v>
      </c>
      <c r="C154" s="336"/>
      <c r="D154" s="336"/>
      <c r="E154" s="336"/>
      <c r="F154" s="337"/>
      <c r="G154" s="41">
        <f>G127</f>
        <v>174.19696161128294</v>
      </c>
    </row>
    <row r="155" spans="1:7" x14ac:dyDescent="0.25">
      <c r="A155" s="5" t="s">
        <v>36</v>
      </c>
      <c r="B155" s="335" t="s">
        <v>139</v>
      </c>
      <c r="C155" s="336"/>
      <c r="D155" s="336"/>
      <c r="E155" s="336"/>
      <c r="F155" s="337"/>
      <c r="G155" s="41">
        <f>G135</f>
        <v>710.04892361111126</v>
      </c>
    </row>
    <row r="156" spans="1:7" x14ac:dyDescent="0.25">
      <c r="A156" s="42"/>
      <c r="B156" s="341" t="s">
        <v>94</v>
      </c>
      <c r="C156" s="342"/>
      <c r="D156" s="342"/>
      <c r="E156" s="342"/>
      <c r="F156" s="343"/>
      <c r="G156" s="41">
        <f>SUM(G151:G155)</f>
        <v>11075.957523999088</v>
      </c>
    </row>
    <row r="157" spans="1:7" x14ac:dyDescent="0.25">
      <c r="A157" s="43" t="s">
        <v>38</v>
      </c>
      <c r="B157" s="335" t="s">
        <v>140</v>
      </c>
      <c r="C157" s="336"/>
      <c r="D157" s="336"/>
      <c r="E157" s="336"/>
      <c r="F157" s="337"/>
      <c r="G157" s="41">
        <f>G145</f>
        <v>2291.577418758432</v>
      </c>
    </row>
    <row r="158" spans="1:7" x14ac:dyDescent="0.25">
      <c r="A158" s="44"/>
      <c r="B158" s="338" t="s">
        <v>95</v>
      </c>
      <c r="C158" s="339"/>
      <c r="D158" s="339"/>
      <c r="E158" s="339"/>
      <c r="F158" s="340"/>
      <c r="G158" s="45">
        <f>(G140+G141+G156)/(1-E142)</f>
        <v>13367.53494275752</v>
      </c>
    </row>
    <row r="159" spans="1:7" x14ac:dyDescent="0.25">
      <c r="G159" s="227">
        <v>13367.53</v>
      </c>
    </row>
  </sheetData>
  <mergeCells count="166">
    <mergeCell ref="B143:D143"/>
    <mergeCell ref="E143:F143"/>
    <mergeCell ref="B144:D144"/>
    <mergeCell ref="E144:F144"/>
    <mergeCell ref="B145:D145"/>
    <mergeCell ref="E145:F145"/>
    <mergeCell ref="B140:D140"/>
    <mergeCell ref="E140:F140"/>
    <mergeCell ref="B141:D141"/>
    <mergeCell ref="E141:F141"/>
    <mergeCell ref="B142:D142"/>
    <mergeCell ref="E142:F142"/>
    <mergeCell ref="B158:F158"/>
    <mergeCell ref="B152:F152"/>
    <mergeCell ref="B153:F153"/>
    <mergeCell ref="B154:F154"/>
    <mergeCell ref="B155:F155"/>
    <mergeCell ref="B156:F156"/>
    <mergeCell ref="B157:F157"/>
    <mergeCell ref="A146:G146"/>
    <mergeCell ref="A147:G147"/>
    <mergeCell ref="A148:G148"/>
    <mergeCell ref="B149:F149"/>
    <mergeCell ref="B150:F150"/>
    <mergeCell ref="B151:F151"/>
    <mergeCell ref="B134:F134"/>
    <mergeCell ref="B135:F135"/>
    <mergeCell ref="A136:G136"/>
    <mergeCell ref="B138:F138"/>
    <mergeCell ref="B139:D139"/>
    <mergeCell ref="E139:F139"/>
    <mergeCell ref="B127:E127"/>
    <mergeCell ref="B129:F129"/>
    <mergeCell ref="B130:F130"/>
    <mergeCell ref="B131:F131"/>
    <mergeCell ref="B132:F132"/>
    <mergeCell ref="B133:F133"/>
    <mergeCell ref="A121:G121"/>
    <mergeCell ref="A122:G122"/>
    <mergeCell ref="B123:F123"/>
    <mergeCell ref="B124:E124"/>
    <mergeCell ref="B125:E125"/>
    <mergeCell ref="B126:E126"/>
    <mergeCell ref="A115:G115"/>
    <mergeCell ref="A116:G116"/>
    <mergeCell ref="A117:G117"/>
    <mergeCell ref="B118:E118"/>
    <mergeCell ref="B119:E119"/>
    <mergeCell ref="B120:E120"/>
    <mergeCell ref="B109:E109"/>
    <mergeCell ref="B110:E110"/>
    <mergeCell ref="B111:E111"/>
    <mergeCell ref="B112:E112"/>
    <mergeCell ref="B113:E113"/>
    <mergeCell ref="B114:E114"/>
    <mergeCell ref="B103:E103"/>
    <mergeCell ref="A104:G104"/>
    <mergeCell ref="A105:G105"/>
    <mergeCell ref="A106:G106"/>
    <mergeCell ref="B107:E107"/>
    <mergeCell ref="B108:E108"/>
    <mergeCell ref="B96:E96"/>
    <mergeCell ref="B97:E97"/>
    <mergeCell ref="B98:E98"/>
    <mergeCell ref="B99:E99"/>
    <mergeCell ref="B100:E100"/>
    <mergeCell ref="B101:E101"/>
    <mergeCell ref="B90:F90"/>
    <mergeCell ref="B91:F91"/>
    <mergeCell ref="A92:G92"/>
    <mergeCell ref="B93:E93"/>
    <mergeCell ref="B94:E94"/>
    <mergeCell ref="B95:E95"/>
    <mergeCell ref="A83:G83"/>
    <mergeCell ref="A84:G84"/>
    <mergeCell ref="B86:F86"/>
    <mergeCell ref="B87:F87"/>
    <mergeCell ref="B88:F88"/>
    <mergeCell ref="B89:F89"/>
    <mergeCell ref="B77:F77"/>
    <mergeCell ref="B78:F78"/>
    <mergeCell ref="B79:F79"/>
    <mergeCell ref="B80:F80"/>
    <mergeCell ref="B81:F81"/>
    <mergeCell ref="B82:F82"/>
    <mergeCell ref="A70:G70"/>
    <mergeCell ref="A71:G71"/>
    <mergeCell ref="A72:G72"/>
    <mergeCell ref="A74:G74"/>
    <mergeCell ref="B75:F75"/>
    <mergeCell ref="B76:F76"/>
    <mergeCell ref="B64:E64"/>
    <mergeCell ref="B65:E65"/>
    <mergeCell ref="B66:E66"/>
    <mergeCell ref="B67:E67"/>
    <mergeCell ref="B68:E68"/>
    <mergeCell ref="B69:E69"/>
    <mergeCell ref="A57:G57"/>
    <mergeCell ref="A59:G59"/>
    <mergeCell ref="B60:E60"/>
    <mergeCell ref="B61:E61"/>
    <mergeCell ref="B62:E62"/>
    <mergeCell ref="B63:E63"/>
    <mergeCell ref="B51:F51"/>
    <mergeCell ref="B52:E52"/>
    <mergeCell ref="B53:E53"/>
    <mergeCell ref="B54:E54"/>
    <mergeCell ref="A55:G55"/>
    <mergeCell ref="A56:G56"/>
    <mergeCell ref="B45:E45"/>
    <mergeCell ref="B46:E46"/>
    <mergeCell ref="A47:G47"/>
    <mergeCell ref="A48:G48"/>
    <mergeCell ref="B49:E49"/>
    <mergeCell ref="A50:G50"/>
    <mergeCell ref="B39:E39"/>
    <mergeCell ref="B40:E40"/>
    <mergeCell ref="B41:E41"/>
    <mergeCell ref="B42:E42"/>
    <mergeCell ref="B43:E43"/>
    <mergeCell ref="B44:E44"/>
    <mergeCell ref="B35:E35"/>
    <mergeCell ref="F35:G35"/>
    <mergeCell ref="B36:E36"/>
    <mergeCell ref="F36:G36"/>
    <mergeCell ref="A37:G37"/>
    <mergeCell ref="B38:E38"/>
    <mergeCell ref="A31:G31"/>
    <mergeCell ref="B32:E32"/>
    <mergeCell ref="F32:G32"/>
    <mergeCell ref="B33:E33"/>
    <mergeCell ref="F33:G33"/>
    <mergeCell ref="B34:E34"/>
    <mergeCell ref="F34:G34"/>
    <mergeCell ref="A25:D25"/>
    <mergeCell ref="F25:G25"/>
    <mergeCell ref="A26:G26"/>
    <mergeCell ref="A27:G27"/>
    <mergeCell ref="A29:G29"/>
    <mergeCell ref="A30:G30"/>
    <mergeCell ref="B20:E20"/>
    <mergeCell ref="F20:G20"/>
    <mergeCell ref="B21:E21"/>
    <mergeCell ref="F21:G21"/>
    <mergeCell ref="A23:G23"/>
    <mergeCell ref="A24:D24"/>
    <mergeCell ref="F24:G24"/>
    <mergeCell ref="B18:E18"/>
    <mergeCell ref="F18:G18"/>
    <mergeCell ref="B19:E19"/>
    <mergeCell ref="F19:G19"/>
    <mergeCell ref="A8:G8"/>
    <mergeCell ref="A9:G9"/>
    <mergeCell ref="A10:G10"/>
    <mergeCell ref="A11:G11"/>
    <mergeCell ref="A13:G13"/>
    <mergeCell ref="A14:G14"/>
    <mergeCell ref="A2:G2"/>
    <mergeCell ref="A3:G3"/>
    <mergeCell ref="A4:G4"/>
    <mergeCell ref="A5:G5"/>
    <mergeCell ref="A6:G6"/>
    <mergeCell ref="A7:G7"/>
    <mergeCell ref="A15:G15"/>
    <mergeCell ref="A16:G16"/>
    <mergeCell ref="A17:G17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6" max="16383" man="1"/>
    <brk id="92" max="16383" man="1"/>
    <brk id="13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zoomScale="110" zoomScaleNormal="110" zoomScaleSheetLayoutView="75" workbookViewId="0">
      <selection activeCell="U13" sqref="U13"/>
    </sheetView>
  </sheetViews>
  <sheetFormatPr defaultRowHeight="12.75" x14ac:dyDescent="0.2"/>
  <cols>
    <col min="1" max="1" width="4" style="89" customWidth="1"/>
    <col min="2" max="2" width="38" style="91" customWidth="1"/>
    <col min="3" max="3" width="4.7109375" style="78" customWidth="1"/>
    <col min="4" max="4" width="8" style="78" customWidth="1"/>
    <col min="5" max="5" width="8.28515625" style="78" customWidth="1"/>
    <col min="6" max="6" width="8.7109375" style="78" customWidth="1"/>
    <col min="7" max="7" width="10.85546875" style="77" bestFit="1" customWidth="1"/>
    <col min="8" max="8" width="9.140625" style="77"/>
    <col min="9" max="9" width="9.5703125" style="77" bestFit="1" customWidth="1"/>
    <col min="10" max="10" width="9.140625" style="77"/>
    <col min="11" max="11" width="9.5703125" style="77" bestFit="1" customWidth="1"/>
    <col min="12" max="12" width="9.140625" style="77"/>
    <col min="13" max="13" width="10" style="77" customWidth="1"/>
    <col min="14" max="18" width="9.140625" style="77"/>
    <col min="19" max="19" width="9.5703125" style="77" bestFit="1" customWidth="1"/>
    <col min="20" max="21" width="9.140625" style="77"/>
    <col min="22" max="22" width="12.5703125" style="77" customWidth="1"/>
    <col min="23" max="16384" width="9.140625" style="77"/>
  </cols>
  <sheetData>
    <row r="1" spans="1:22" x14ac:dyDescent="0.2">
      <c r="A1" s="384" t="s">
        <v>0</v>
      </c>
      <c r="B1" s="384"/>
      <c r="C1" s="384"/>
      <c r="D1" s="384"/>
      <c r="E1" s="96"/>
      <c r="F1" s="96"/>
    </row>
    <row r="2" spans="1:22" x14ac:dyDescent="0.2">
      <c r="A2" s="384" t="s">
        <v>100</v>
      </c>
      <c r="B2" s="384"/>
      <c r="C2" s="384"/>
      <c r="D2" s="384"/>
      <c r="E2" s="96"/>
      <c r="F2" s="96"/>
    </row>
    <row r="3" spans="1:22" x14ac:dyDescent="0.2">
      <c r="A3" s="384" t="s">
        <v>101</v>
      </c>
      <c r="B3" s="384"/>
      <c r="C3" s="384"/>
      <c r="D3" s="384"/>
      <c r="E3" s="96"/>
      <c r="F3" s="96"/>
    </row>
    <row r="4" spans="1:22" x14ac:dyDescent="0.2">
      <c r="A4" s="384" t="s">
        <v>102</v>
      </c>
      <c r="B4" s="384"/>
      <c r="C4" s="384"/>
      <c r="D4" s="384"/>
      <c r="E4" s="96"/>
      <c r="F4" s="96"/>
    </row>
    <row r="5" spans="1:22" x14ac:dyDescent="0.2">
      <c r="A5" s="384" t="s">
        <v>103</v>
      </c>
      <c r="B5" s="384"/>
      <c r="C5" s="384"/>
      <c r="D5" s="384"/>
      <c r="E5" s="96"/>
      <c r="F5" s="96"/>
    </row>
    <row r="6" spans="1:22" x14ac:dyDescent="0.2">
      <c r="A6" s="97"/>
      <c r="B6" s="98"/>
      <c r="C6" s="96"/>
      <c r="D6" s="96"/>
      <c r="E6" s="96"/>
      <c r="F6" s="96"/>
    </row>
    <row r="7" spans="1:22" x14ac:dyDescent="0.2">
      <c r="A7" s="97"/>
      <c r="B7" s="98"/>
      <c r="C7" s="96"/>
      <c r="D7" s="96"/>
      <c r="E7" s="96"/>
      <c r="F7" s="96"/>
    </row>
    <row r="8" spans="1:22" x14ac:dyDescent="0.2">
      <c r="A8" s="96"/>
      <c r="B8" s="98"/>
      <c r="C8" s="96"/>
      <c r="D8" s="96"/>
      <c r="E8" s="96"/>
      <c r="F8" s="96"/>
    </row>
    <row r="9" spans="1:22" x14ac:dyDescent="0.2">
      <c r="A9" s="376" t="s">
        <v>153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</row>
    <row r="10" spans="1:22" ht="39" customHeight="1" x14ac:dyDescent="0.2">
      <c r="A10" s="382" t="s">
        <v>5</v>
      </c>
      <c r="B10" s="382" t="s">
        <v>189</v>
      </c>
      <c r="C10" s="382" t="s">
        <v>190</v>
      </c>
      <c r="D10" s="382" t="s">
        <v>201</v>
      </c>
      <c r="E10" s="374" t="s">
        <v>315</v>
      </c>
      <c r="F10" s="375"/>
      <c r="G10" s="374" t="s">
        <v>310</v>
      </c>
      <c r="H10" s="375"/>
      <c r="I10" s="374" t="s">
        <v>311</v>
      </c>
      <c r="J10" s="375"/>
      <c r="K10" s="374" t="s">
        <v>312</v>
      </c>
      <c r="L10" s="375"/>
      <c r="M10" s="374" t="s">
        <v>322</v>
      </c>
      <c r="N10" s="375"/>
      <c r="O10" s="374" t="s">
        <v>337</v>
      </c>
      <c r="P10" s="375"/>
      <c r="Q10" s="374" t="s">
        <v>336</v>
      </c>
      <c r="R10" s="375"/>
      <c r="S10" s="374" t="s">
        <v>316</v>
      </c>
      <c r="T10" s="375"/>
      <c r="U10" s="374" t="s">
        <v>323</v>
      </c>
      <c r="V10" s="375"/>
    </row>
    <row r="11" spans="1:22" ht="20.25" customHeight="1" x14ac:dyDescent="0.2">
      <c r="A11" s="383"/>
      <c r="B11" s="383"/>
      <c r="C11" s="383"/>
      <c r="D11" s="383"/>
      <c r="E11" s="86" t="s">
        <v>187</v>
      </c>
      <c r="F11" s="88" t="s">
        <v>7</v>
      </c>
      <c r="G11" s="149" t="s">
        <v>187</v>
      </c>
      <c r="H11" s="149" t="s">
        <v>7</v>
      </c>
      <c r="I11" s="149" t="s">
        <v>187</v>
      </c>
      <c r="J11" s="149" t="s">
        <v>7</v>
      </c>
      <c r="K11" s="149" t="s">
        <v>187</v>
      </c>
      <c r="L11" s="149" t="s">
        <v>7</v>
      </c>
      <c r="M11" s="149" t="s">
        <v>187</v>
      </c>
      <c r="N11" s="149" t="s">
        <v>7</v>
      </c>
      <c r="O11" s="149" t="s">
        <v>187</v>
      </c>
      <c r="P11" s="149" t="s">
        <v>7</v>
      </c>
      <c r="Q11" s="149" t="s">
        <v>187</v>
      </c>
      <c r="R11" s="149" t="s">
        <v>7</v>
      </c>
      <c r="S11" s="149" t="s">
        <v>187</v>
      </c>
      <c r="T11" s="149" t="s">
        <v>7</v>
      </c>
      <c r="U11" s="149" t="s">
        <v>187</v>
      </c>
      <c r="V11" s="149" t="s">
        <v>7</v>
      </c>
    </row>
    <row r="12" spans="1:22" ht="72" customHeight="1" x14ac:dyDescent="0.2">
      <c r="A12" s="87">
        <v>1</v>
      </c>
      <c r="B12" s="90" t="s">
        <v>191</v>
      </c>
      <c r="C12" s="87" t="s">
        <v>8</v>
      </c>
      <c r="D12" s="87">
        <v>4</v>
      </c>
      <c r="E12" s="92">
        <v>16</v>
      </c>
      <c r="F12" s="93">
        <f t="shared" ref="F12:F20" si="0">D12*E12</f>
        <v>64</v>
      </c>
      <c r="G12" s="150"/>
      <c r="H12" s="150"/>
      <c r="I12" s="151">
        <v>17</v>
      </c>
      <c r="J12" s="151"/>
      <c r="K12" s="151">
        <v>21.6</v>
      </c>
      <c r="L12" s="151"/>
      <c r="M12" s="151">
        <v>35.200000000000003</v>
      </c>
      <c r="N12" s="93">
        <f t="shared" ref="N12:N20" si="1">M12*D12</f>
        <v>140.80000000000001</v>
      </c>
      <c r="O12" s="151">
        <v>25.9</v>
      </c>
      <c r="P12" s="151">
        <f>O12*D12</f>
        <v>103.6</v>
      </c>
      <c r="Q12" s="151">
        <v>65</v>
      </c>
      <c r="R12" s="151">
        <f>Q12*D12</f>
        <v>260</v>
      </c>
      <c r="S12" s="151"/>
      <c r="T12" s="151">
        <f t="shared" ref="T12:T20" si="2">S12*D12</f>
        <v>0</v>
      </c>
      <c r="U12" s="151">
        <f>AVERAGE(M12,Q12)</f>
        <v>50.1</v>
      </c>
      <c r="V12" s="151">
        <f>U12*D12</f>
        <v>200.4</v>
      </c>
    </row>
    <row r="13" spans="1:22" ht="29.25" customHeight="1" x14ac:dyDescent="0.2">
      <c r="A13" s="87">
        <v>2</v>
      </c>
      <c r="B13" s="90" t="s">
        <v>192</v>
      </c>
      <c r="C13" s="87" t="s">
        <v>8</v>
      </c>
      <c r="D13" s="87">
        <v>2</v>
      </c>
      <c r="E13" s="92">
        <v>85</v>
      </c>
      <c r="F13" s="93">
        <f t="shared" si="0"/>
        <v>170</v>
      </c>
      <c r="G13" s="150">
        <v>170</v>
      </c>
      <c r="H13" s="150"/>
      <c r="I13" s="151">
        <v>90</v>
      </c>
      <c r="J13" s="151"/>
      <c r="K13" s="151">
        <v>118.5</v>
      </c>
      <c r="L13" s="151"/>
      <c r="M13" s="151">
        <v>85.7</v>
      </c>
      <c r="N13" s="93">
        <f t="shared" si="1"/>
        <v>171.4</v>
      </c>
      <c r="O13" s="151">
        <v>102</v>
      </c>
      <c r="P13" s="151">
        <f t="shared" ref="P13:P20" si="3">O13*D13</f>
        <v>204</v>
      </c>
      <c r="Q13" s="151">
        <v>179.9</v>
      </c>
      <c r="R13" s="151">
        <f t="shared" ref="R13:R20" si="4">Q13*D13</f>
        <v>359.8</v>
      </c>
      <c r="S13" s="151">
        <v>135.80000000000001</v>
      </c>
      <c r="T13" s="151">
        <f t="shared" si="2"/>
        <v>271.60000000000002</v>
      </c>
      <c r="U13" s="151">
        <f>AVERAGE(K13,Q13,S13)</f>
        <v>144.73333333333332</v>
      </c>
      <c r="V13" s="151">
        <f t="shared" ref="V13:V20" si="5">U13*D13</f>
        <v>289.46666666666664</v>
      </c>
    </row>
    <row r="14" spans="1:22" ht="100.5" customHeight="1" x14ac:dyDescent="0.2">
      <c r="A14" s="87">
        <v>3</v>
      </c>
      <c r="B14" s="90" t="s">
        <v>193</v>
      </c>
      <c r="C14" s="87" t="s">
        <v>8</v>
      </c>
      <c r="D14" s="87">
        <v>2</v>
      </c>
      <c r="E14" s="92">
        <v>85</v>
      </c>
      <c r="F14" s="93">
        <f t="shared" si="0"/>
        <v>170</v>
      </c>
      <c r="G14" s="150">
        <v>177.49</v>
      </c>
      <c r="H14" s="150"/>
      <c r="I14" s="151">
        <v>120</v>
      </c>
      <c r="J14" s="151"/>
      <c r="K14" s="151">
        <v>131.5</v>
      </c>
      <c r="L14" s="151"/>
      <c r="M14" s="151">
        <v>125.35</v>
      </c>
      <c r="N14" s="93">
        <f t="shared" si="1"/>
        <v>250.7</v>
      </c>
      <c r="O14" s="151">
        <v>102</v>
      </c>
      <c r="P14" s="151">
        <f t="shared" si="3"/>
        <v>204</v>
      </c>
      <c r="Q14" s="151">
        <v>145.63</v>
      </c>
      <c r="R14" s="151">
        <f t="shared" si="4"/>
        <v>291.26</v>
      </c>
      <c r="S14" s="151">
        <v>206</v>
      </c>
      <c r="T14" s="151">
        <f t="shared" si="2"/>
        <v>412</v>
      </c>
      <c r="U14" s="151">
        <f>AVERAGE(G14,K14,Q14)</f>
        <v>151.54</v>
      </c>
      <c r="V14" s="151">
        <f t="shared" si="5"/>
        <v>303.08</v>
      </c>
    </row>
    <row r="15" spans="1:22" ht="123" customHeight="1" x14ac:dyDescent="0.2">
      <c r="A15" s="87">
        <v>4</v>
      </c>
      <c r="B15" s="90" t="s">
        <v>194</v>
      </c>
      <c r="C15" s="87" t="s">
        <v>8</v>
      </c>
      <c r="D15" s="87">
        <v>1</v>
      </c>
      <c r="E15" s="92">
        <v>349</v>
      </c>
      <c r="F15" s="93">
        <f t="shared" si="0"/>
        <v>349</v>
      </c>
      <c r="G15" s="150">
        <v>298.22000000000003</v>
      </c>
      <c r="H15" s="150"/>
      <c r="I15" s="151">
        <v>150</v>
      </c>
      <c r="J15" s="151"/>
      <c r="K15" s="151">
        <v>185</v>
      </c>
      <c r="L15" s="151"/>
      <c r="M15" s="151">
        <v>255</v>
      </c>
      <c r="N15" s="93">
        <f t="shared" si="1"/>
        <v>255</v>
      </c>
      <c r="O15" s="151">
        <v>195</v>
      </c>
      <c r="P15" s="151">
        <f t="shared" si="3"/>
        <v>195</v>
      </c>
      <c r="Q15" s="151">
        <v>254.69</v>
      </c>
      <c r="R15" s="151">
        <f t="shared" si="4"/>
        <v>254.69</v>
      </c>
      <c r="S15" s="151">
        <v>520</v>
      </c>
      <c r="T15" s="151">
        <f t="shared" si="2"/>
        <v>520</v>
      </c>
      <c r="U15" s="151">
        <f>AVERAGE(E15,G15,M15,Q15)</f>
        <v>289.22750000000002</v>
      </c>
      <c r="V15" s="151">
        <f t="shared" si="5"/>
        <v>289.22750000000002</v>
      </c>
    </row>
    <row r="16" spans="1:22" ht="29.25" customHeight="1" x14ac:dyDescent="0.2">
      <c r="A16" s="87">
        <v>5</v>
      </c>
      <c r="B16" s="90" t="s">
        <v>195</v>
      </c>
      <c r="C16" s="87" t="s">
        <v>196</v>
      </c>
      <c r="D16" s="87">
        <v>6</v>
      </c>
      <c r="E16" s="92">
        <v>8</v>
      </c>
      <c r="F16" s="93">
        <f t="shared" si="0"/>
        <v>48</v>
      </c>
      <c r="G16" s="150">
        <v>11.43</v>
      </c>
      <c r="H16" s="150"/>
      <c r="I16" s="151">
        <v>7</v>
      </c>
      <c r="J16" s="151"/>
      <c r="K16" s="151">
        <v>9.99</v>
      </c>
      <c r="L16" s="151"/>
      <c r="M16" s="151">
        <v>98.2</v>
      </c>
      <c r="N16" s="93">
        <f t="shared" si="1"/>
        <v>589.20000000000005</v>
      </c>
      <c r="O16" s="151">
        <v>15</v>
      </c>
      <c r="P16" s="151">
        <f t="shared" si="3"/>
        <v>90</v>
      </c>
      <c r="Q16" s="151">
        <v>39.9</v>
      </c>
      <c r="R16" s="151">
        <f t="shared" si="4"/>
        <v>239.39999999999998</v>
      </c>
      <c r="S16" s="151"/>
      <c r="T16" s="151">
        <f t="shared" si="2"/>
        <v>0</v>
      </c>
      <c r="U16" s="151">
        <f>AVERAGE(G16,O16,K16)</f>
        <v>12.14</v>
      </c>
      <c r="V16" s="151">
        <f t="shared" si="5"/>
        <v>72.84</v>
      </c>
    </row>
    <row r="17" spans="1:22" ht="29.25" customHeight="1" x14ac:dyDescent="0.2">
      <c r="A17" s="87">
        <v>6</v>
      </c>
      <c r="B17" s="90" t="s">
        <v>197</v>
      </c>
      <c r="C17" s="87" t="s">
        <v>8</v>
      </c>
      <c r="D17" s="87">
        <v>1</v>
      </c>
      <c r="E17" s="92">
        <v>5</v>
      </c>
      <c r="F17" s="93">
        <f t="shared" si="0"/>
        <v>5</v>
      </c>
      <c r="G17" s="150">
        <v>213.9</v>
      </c>
      <c r="H17" s="150"/>
      <c r="I17" s="151">
        <v>35</v>
      </c>
      <c r="J17" s="151"/>
      <c r="K17" s="151">
        <v>8.99</v>
      </c>
      <c r="L17" s="151"/>
      <c r="M17" s="151">
        <v>35</v>
      </c>
      <c r="N17" s="93">
        <f t="shared" si="1"/>
        <v>35</v>
      </c>
      <c r="O17" s="151">
        <v>15</v>
      </c>
      <c r="P17" s="151">
        <f t="shared" si="3"/>
        <v>15</v>
      </c>
      <c r="Q17" s="151">
        <v>27.44</v>
      </c>
      <c r="R17" s="151">
        <f t="shared" si="4"/>
        <v>27.44</v>
      </c>
      <c r="S17" s="151"/>
      <c r="T17" s="151">
        <f t="shared" si="2"/>
        <v>0</v>
      </c>
      <c r="U17" s="151">
        <f>AVERAGE(I17,M17)</f>
        <v>35</v>
      </c>
      <c r="V17" s="151">
        <f t="shared" si="5"/>
        <v>35</v>
      </c>
    </row>
    <row r="18" spans="1:22" ht="24" customHeight="1" x14ac:dyDescent="0.2">
      <c r="A18" s="87">
        <v>7</v>
      </c>
      <c r="B18" s="90" t="s">
        <v>251</v>
      </c>
      <c r="C18" s="87" t="s">
        <v>152</v>
      </c>
      <c r="D18" s="87">
        <v>1</v>
      </c>
      <c r="E18" s="92">
        <v>90</v>
      </c>
      <c r="F18" s="93">
        <f t="shared" si="0"/>
        <v>90</v>
      </c>
      <c r="G18" s="150"/>
      <c r="H18" s="150"/>
      <c r="I18" s="151"/>
      <c r="J18" s="151"/>
      <c r="K18" s="151"/>
      <c r="L18" s="151"/>
      <c r="M18" s="151">
        <v>122</v>
      </c>
      <c r="N18" s="93">
        <f t="shared" si="1"/>
        <v>122</v>
      </c>
      <c r="O18" s="151">
        <v>85</v>
      </c>
      <c r="P18" s="151">
        <f t="shared" si="3"/>
        <v>85</v>
      </c>
      <c r="Q18" s="151">
        <v>125.96</v>
      </c>
      <c r="R18" s="151">
        <f t="shared" si="4"/>
        <v>125.96</v>
      </c>
      <c r="S18" s="151"/>
      <c r="T18" s="151">
        <f t="shared" si="2"/>
        <v>0</v>
      </c>
      <c r="U18" s="151">
        <f>AVERAGE(M18,Q18)</f>
        <v>123.97999999999999</v>
      </c>
      <c r="V18" s="151">
        <f t="shared" si="5"/>
        <v>123.97999999999999</v>
      </c>
    </row>
    <row r="19" spans="1:22" x14ac:dyDescent="0.2">
      <c r="A19" s="87">
        <v>8</v>
      </c>
      <c r="B19" s="90" t="s">
        <v>151</v>
      </c>
      <c r="C19" s="87" t="s">
        <v>150</v>
      </c>
      <c r="D19" s="87">
        <v>2</v>
      </c>
      <c r="E19" s="92">
        <v>5</v>
      </c>
      <c r="F19" s="93">
        <f t="shared" si="0"/>
        <v>10</v>
      </c>
      <c r="G19" s="150"/>
      <c r="H19" s="150"/>
      <c r="I19" s="151"/>
      <c r="J19" s="151"/>
      <c r="K19" s="151"/>
      <c r="L19" s="151"/>
      <c r="M19" s="151">
        <v>10</v>
      </c>
      <c r="N19" s="93">
        <f t="shared" si="1"/>
        <v>20</v>
      </c>
      <c r="O19" s="151">
        <v>3</v>
      </c>
      <c r="P19" s="151">
        <f t="shared" si="3"/>
        <v>6</v>
      </c>
      <c r="Q19" s="151">
        <v>14.99</v>
      </c>
      <c r="R19" s="151">
        <f t="shared" si="4"/>
        <v>29.98</v>
      </c>
      <c r="S19" s="151">
        <v>4</v>
      </c>
      <c r="T19" s="151">
        <f t="shared" si="2"/>
        <v>8</v>
      </c>
      <c r="U19" s="151">
        <f>AVERAGE(M19,Q19)</f>
        <v>12.495000000000001</v>
      </c>
      <c r="V19" s="151">
        <f t="shared" si="5"/>
        <v>24.990000000000002</v>
      </c>
    </row>
    <row r="20" spans="1:22" ht="27.75" customHeight="1" x14ac:dyDescent="0.2">
      <c r="A20" s="87">
        <v>9</v>
      </c>
      <c r="B20" s="90" t="s">
        <v>198</v>
      </c>
      <c r="C20" s="87" t="s">
        <v>8</v>
      </c>
      <c r="D20" s="87">
        <v>1</v>
      </c>
      <c r="E20" s="92">
        <v>72</v>
      </c>
      <c r="F20" s="93">
        <f t="shared" si="0"/>
        <v>72</v>
      </c>
      <c r="G20" s="150"/>
      <c r="H20" s="150"/>
      <c r="I20" s="151"/>
      <c r="J20" s="151"/>
      <c r="K20" s="151"/>
      <c r="L20" s="151"/>
      <c r="M20" s="151">
        <v>45.2</v>
      </c>
      <c r="N20" s="93">
        <f t="shared" si="1"/>
        <v>45.2</v>
      </c>
      <c r="O20" s="151">
        <v>13</v>
      </c>
      <c r="P20" s="151">
        <f t="shared" si="3"/>
        <v>13</v>
      </c>
      <c r="Q20" s="151">
        <v>84.52</v>
      </c>
      <c r="R20" s="151">
        <f t="shared" si="4"/>
        <v>84.52</v>
      </c>
      <c r="S20" s="151"/>
      <c r="T20" s="151">
        <f t="shared" si="2"/>
        <v>0</v>
      </c>
      <c r="U20" s="151">
        <f>AVERAGE(E20,Q20)</f>
        <v>78.259999999999991</v>
      </c>
      <c r="V20" s="151">
        <f t="shared" si="5"/>
        <v>78.259999999999991</v>
      </c>
    </row>
    <row r="21" spans="1:22" ht="15" x14ac:dyDescent="0.25">
      <c r="A21" s="94"/>
      <c r="B21" s="379" t="s">
        <v>200</v>
      </c>
      <c r="C21" s="380"/>
      <c r="D21" s="380"/>
      <c r="E21" s="381"/>
      <c r="F21" s="95"/>
      <c r="M21"/>
      <c r="N21"/>
      <c r="U21" s="377">
        <f>SUM(V12:V20)</f>
        <v>1417.2441666666666</v>
      </c>
      <c r="V21" s="378"/>
    </row>
    <row r="22" spans="1:22" ht="12.75" customHeight="1" x14ac:dyDescent="0.2">
      <c r="A22" s="94"/>
      <c r="B22" s="379" t="s">
        <v>199</v>
      </c>
      <c r="C22" s="380"/>
      <c r="D22" s="380"/>
      <c r="E22" s="381"/>
      <c r="F22" s="95"/>
      <c r="U22" s="377">
        <f>U21/12</f>
        <v>118.10368055555556</v>
      </c>
      <c r="V22" s="378"/>
    </row>
    <row r="29" spans="1:22" ht="54" customHeight="1" x14ac:dyDescent="0.2"/>
    <row r="31" spans="1:22" ht="65.25" customHeight="1" x14ac:dyDescent="0.2"/>
    <row r="35" ht="12.75" customHeight="1" x14ac:dyDescent="0.2"/>
    <row r="36" ht="54" customHeight="1" x14ac:dyDescent="0.2"/>
  </sheetData>
  <mergeCells count="23">
    <mergeCell ref="A10:A11"/>
    <mergeCell ref="Q10:R10"/>
    <mergeCell ref="A1:D1"/>
    <mergeCell ref="A2:D2"/>
    <mergeCell ref="A3:D3"/>
    <mergeCell ref="A4:D4"/>
    <mergeCell ref="A5:D5"/>
    <mergeCell ref="U10:V10"/>
    <mergeCell ref="A9:V9"/>
    <mergeCell ref="U21:V21"/>
    <mergeCell ref="U22:V22"/>
    <mergeCell ref="M10:N10"/>
    <mergeCell ref="O10:P10"/>
    <mergeCell ref="S10:T10"/>
    <mergeCell ref="G10:H10"/>
    <mergeCell ref="I10:J10"/>
    <mergeCell ref="K10:L10"/>
    <mergeCell ref="B21:E21"/>
    <mergeCell ref="B22:E22"/>
    <mergeCell ref="E10:F10"/>
    <mergeCell ref="D10:D11"/>
    <mergeCell ref="C10:C11"/>
    <mergeCell ref="B10:B11"/>
  </mergeCells>
  <phoneticPr fontId="56" type="noConversion"/>
  <pageMargins left="0.78740157480314965" right="0.78740157480314965" top="0.59055118110236227" bottom="0.59055118110236227" header="0.11811023622047245" footer="0.11811023622047245"/>
  <pageSetup paperSize="9"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opLeftCell="B13" zoomScale="80" zoomScaleNormal="80" workbookViewId="0">
      <selection activeCell="S5" sqref="S5"/>
    </sheetView>
  </sheetViews>
  <sheetFormatPr defaultRowHeight="15" x14ac:dyDescent="0.25"/>
  <cols>
    <col min="1" max="1" width="5.42578125" bestFit="1" customWidth="1"/>
    <col min="2" max="2" width="53.5703125" customWidth="1"/>
    <col min="3" max="3" width="37.28515625" customWidth="1"/>
    <col min="4" max="4" width="34.5703125" customWidth="1"/>
    <col min="5" max="5" width="10" bestFit="1" customWidth="1"/>
    <col min="7" max="7" width="10" bestFit="1" customWidth="1"/>
    <col min="9" max="9" width="10" bestFit="1" customWidth="1"/>
    <col min="11" max="11" width="11.7109375" bestFit="1" customWidth="1"/>
    <col min="12" max="12" width="12.85546875" bestFit="1" customWidth="1"/>
    <col min="13" max="13" width="11.7109375" bestFit="1" customWidth="1"/>
    <col min="14" max="14" width="12.85546875" bestFit="1" customWidth="1"/>
    <col min="15" max="16" width="12.7109375" bestFit="1" customWidth="1"/>
    <col min="17" max="17" width="11.7109375" bestFit="1" customWidth="1"/>
    <col min="18" max="18" width="11.42578125" customWidth="1"/>
    <col min="19" max="19" width="11.5703125" bestFit="1" customWidth="1"/>
    <col min="20" max="20" width="12.7109375" bestFit="1" customWidth="1"/>
  </cols>
  <sheetData>
    <row r="1" spans="1:20" x14ac:dyDescent="0.25">
      <c r="K1" s="385" t="s">
        <v>321</v>
      </c>
      <c r="L1" s="385"/>
      <c r="M1" s="385"/>
      <c r="N1" s="385"/>
      <c r="O1" s="385"/>
      <c r="P1" s="385"/>
    </row>
    <row r="2" spans="1:20" ht="47.25" customHeight="1" x14ac:dyDescent="0.25">
      <c r="A2" s="153" t="s">
        <v>252</v>
      </c>
      <c r="B2" s="153" t="s">
        <v>202</v>
      </c>
      <c r="C2" s="153" t="s">
        <v>253</v>
      </c>
      <c r="D2" s="153" t="s">
        <v>98</v>
      </c>
      <c r="E2" s="392" t="s">
        <v>306</v>
      </c>
      <c r="F2" s="392"/>
      <c r="G2" s="392" t="s">
        <v>310</v>
      </c>
      <c r="H2" s="392"/>
      <c r="I2" s="395" t="s">
        <v>312</v>
      </c>
      <c r="J2" s="387"/>
      <c r="K2" s="388" t="s">
        <v>322</v>
      </c>
      <c r="L2" s="389"/>
      <c r="M2" s="388" t="s">
        <v>337</v>
      </c>
      <c r="N2" s="389"/>
      <c r="O2" s="388" t="s">
        <v>336</v>
      </c>
      <c r="P2" s="389"/>
      <c r="Q2" s="389" t="s">
        <v>319</v>
      </c>
      <c r="R2" s="390"/>
      <c r="S2" s="388" t="s">
        <v>320</v>
      </c>
      <c r="T2" s="388"/>
    </row>
    <row r="3" spans="1:20" x14ac:dyDescent="0.25">
      <c r="A3" s="155" t="s">
        <v>183</v>
      </c>
      <c r="B3" s="391" t="s">
        <v>205</v>
      </c>
      <c r="C3" s="391"/>
      <c r="D3" s="391"/>
      <c r="E3" s="146" t="s">
        <v>305</v>
      </c>
      <c r="F3" s="146" t="s">
        <v>7</v>
      </c>
      <c r="G3" s="146" t="s">
        <v>305</v>
      </c>
      <c r="H3" s="146" t="s">
        <v>7</v>
      </c>
      <c r="I3" s="146" t="s">
        <v>305</v>
      </c>
      <c r="J3" s="146" t="s">
        <v>7</v>
      </c>
      <c r="K3" s="146" t="s">
        <v>305</v>
      </c>
      <c r="L3" s="146" t="s">
        <v>7</v>
      </c>
      <c r="M3" s="146" t="s">
        <v>305</v>
      </c>
      <c r="N3" s="146" t="s">
        <v>7</v>
      </c>
      <c r="O3" s="146" t="s">
        <v>305</v>
      </c>
      <c r="P3" s="146" t="s">
        <v>7</v>
      </c>
      <c r="Q3" s="146" t="s">
        <v>305</v>
      </c>
      <c r="R3" s="164" t="s">
        <v>7</v>
      </c>
      <c r="S3" s="146" t="s">
        <v>305</v>
      </c>
      <c r="T3" s="146" t="s">
        <v>7</v>
      </c>
    </row>
    <row r="4" spans="1:20" ht="60.75" customHeight="1" x14ac:dyDescent="0.25">
      <c r="A4" s="155" t="s">
        <v>184</v>
      </c>
      <c r="B4" s="156" t="s">
        <v>254</v>
      </c>
      <c r="C4" s="154" t="s">
        <v>255</v>
      </c>
      <c r="D4" s="154">
        <v>2</v>
      </c>
      <c r="E4" s="146">
        <v>15.9</v>
      </c>
      <c r="F4" s="147"/>
      <c r="G4" s="147">
        <v>26.14</v>
      </c>
      <c r="H4" s="147"/>
      <c r="I4" s="146"/>
      <c r="J4" s="146"/>
      <c r="K4" s="146">
        <v>24.7</v>
      </c>
      <c r="L4" s="146">
        <f>K4*D4</f>
        <v>49.4</v>
      </c>
      <c r="M4" s="146">
        <v>29.79</v>
      </c>
      <c r="N4" s="146">
        <f>M4*D4</f>
        <v>59.58</v>
      </c>
      <c r="O4" s="146">
        <v>47.97</v>
      </c>
      <c r="P4" s="146">
        <f>O4*D4</f>
        <v>95.94</v>
      </c>
      <c r="Q4" s="146">
        <v>25.13</v>
      </c>
      <c r="R4" s="164">
        <f>D4</f>
        <v>2</v>
      </c>
      <c r="S4" s="146">
        <f>AVERAGE(G4,M4,O4,Q4)</f>
        <v>32.2575</v>
      </c>
      <c r="T4" s="146">
        <f>S4*D4</f>
        <v>64.515000000000001</v>
      </c>
    </row>
    <row r="5" spans="1:20" ht="101.25" customHeight="1" x14ac:dyDescent="0.25">
      <c r="A5" s="155" t="s">
        <v>185</v>
      </c>
      <c r="B5" s="156" t="s">
        <v>256</v>
      </c>
      <c r="C5" s="154" t="s">
        <v>257</v>
      </c>
      <c r="D5" s="154">
        <v>12</v>
      </c>
      <c r="E5" s="147"/>
      <c r="F5" s="147"/>
      <c r="G5" s="147">
        <v>16.399999999999999</v>
      </c>
      <c r="H5" s="147"/>
      <c r="I5" s="146"/>
      <c r="J5" s="146"/>
      <c r="K5" s="146">
        <v>6.9</v>
      </c>
      <c r="L5" s="146">
        <f t="shared" ref="L5:L26" si="0">K5*D5</f>
        <v>82.800000000000011</v>
      </c>
      <c r="M5" s="146">
        <v>13.69</v>
      </c>
      <c r="N5" s="146">
        <f t="shared" ref="N5:N36" si="1">M5*D5</f>
        <v>164.28</v>
      </c>
      <c r="O5" s="146">
        <v>56.97</v>
      </c>
      <c r="P5" s="146">
        <f t="shared" ref="P5:P26" si="2">O5*D5</f>
        <v>683.64</v>
      </c>
      <c r="Q5" s="146">
        <v>8.09</v>
      </c>
      <c r="R5" s="164">
        <f t="shared" ref="R5:R43" si="3">D5</f>
        <v>12</v>
      </c>
      <c r="S5" s="146">
        <f>AVERAGE(G5,M5)</f>
        <v>15.044999999999998</v>
      </c>
      <c r="T5" s="146">
        <f t="shared" ref="T5:T43" si="4">S5*D5</f>
        <v>180.53999999999996</v>
      </c>
    </row>
    <row r="6" spans="1:20" ht="120" x14ac:dyDescent="0.25">
      <c r="A6" s="155" t="s">
        <v>186</v>
      </c>
      <c r="B6" s="155" t="s">
        <v>258</v>
      </c>
      <c r="C6" s="154" t="s">
        <v>259</v>
      </c>
      <c r="D6" s="154">
        <v>4</v>
      </c>
      <c r="E6" s="147">
        <v>9</v>
      </c>
      <c r="F6" s="147"/>
      <c r="G6" s="147">
        <v>6.04</v>
      </c>
      <c r="H6" s="147"/>
      <c r="I6" s="146"/>
      <c r="J6" s="146"/>
      <c r="K6" s="146">
        <v>11.25</v>
      </c>
      <c r="L6" s="146">
        <f t="shared" si="0"/>
        <v>45</v>
      </c>
      <c r="M6" s="146">
        <v>11.27</v>
      </c>
      <c r="N6" s="146">
        <f t="shared" si="1"/>
        <v>45.08</v>
      </c>
      <c r="O6" s="146">
        <v>140.4</v>
      </c>
      <c r="P6" s="146">
        <f t="shared" si="2"/>
        <v>561.6</v>
      </c>
      <c r="Q6" s="146">
        <v>9.5299999999999994</v>
      </c>
      <c r="R6" s="164">
        <f t="shared" si="3"/>
        <v>4</v>
      </c>
      <c r="S6" s="146">
        <f>AVERAGE(E6,K6,M6,Q6)</f>
        <v>10.262499999999999</v>
      </c>
      <c r="T6" s="146">
        <f t="shared" si="4"/>
        <v>41.05</v>
      </c>
    </row>
    <row r="7" spans="1:20" ht="30" x14ac:dyDescent="0.25">
      <c r="A7" s="155" t="s">
        <v>206</v>
      </c>
      <c r="B7" s="156" t="s">
        <v>249</v>
      </c>
      <c r="C7" s="154" t="s">
        <v>260</v>
      </c>
      <c r="D7" s="154">
        <v>10</v>
      </c>
      <c r="E7" s="147">
        <v>12.24</v>
      </c>
      <c r="F7" s="147"/>
      <c r="G7" s="147">
        <v>6.84</v>
      </c>
      <c r="H7" s="147"/>
      <c r="I7" s="146"/>
      <c r="J7" s="146"/>
      <c r="K7" s="146">
        <v>18.05</v>
      </c>
      <c r="L7" s="146">
        <f>K7*D7</f>
        <v>180.5</v>
      </c>
      <c r="M7" s="146">
        <v>2.93</v>
      </c>
      <c r="N7" s="146">
        <f t="shared" si="1"/>
        <v>29.3</v>
      </c>
      <c r="O7" s="146">
        <v>56.7</v>
      </c>
      <c r="P7" s="146">
        <f t="shared" si="2"/>
        <v>567</v>
      </c>
      <c r="Q7" s="146">
        <v>24.65</v>
      </c>
      <c r="R7" s="164">
        <f t="shared" si="3"/>
        <v>10</v>
      </c>
      <c r="S7" s="146">
        <f>AVERAGE(K7,Q7)</f>
        <v>21.35</v>
      </c>
      <c r="T7" s="146">
        <f t="shared" si="4"/>
        <v>213.5</v>
      </c>
    </row>
    <row r="8" spans="1:20" ht="30" x14ac:dyDescent="0.25">
      <c r="A8" s="155" t="s">
        <v>207</v>
      </c>
      <c r="B8" s="156" t="s">
        <v>250</v>
      </c>
      <c r="C8" s="154" t="s">
        <v>260</v>
      </c>
      <c r="D8" s="154">
        <v>8</v>
      </c>
      <c r="E8" s="147">
        <v>8.9</v>
      </c>
      <c r="F8" s="147"/>
      <c r="G8" s="147"/>
      <c r="H8" s="147"/>
      <c r="I8" s="146"/>
      <c r="J8" s="146"/>
      <c r="K8" s="146">
        <v>24.6</v>
      </c>
      <c r="L8" s="146">
        <f t="shared" si="0"/>
        <v>196.8</v>
      </c>
      <c r="M8" s="146">
        <v>3.8</v>
      </c>
      <c r="N8" s="146">
        <f t="shared" si="1"/>
        <v>30.4</v>
      </c>
      <c r="O8" s="146">
        <v>86.64</v>
      </c>
      <c r="P8" s="146">
        <f t="shared" si="2"/>
        <v>693.12</v>
      </c>
      <c r="Q8" s="146">
        <v>34.53</v>
      </c>
      <c r="R8" s="164">
        <f t="shared" si="3"/>
        <v>8</v>
      </c>
      <c r="S8" s="146">
        <f>AVERAGE(K8,Q8)</f>
        <v>29.565000000000001</v>
      </c>
      <c r="T8" s="146">
        <f t="shared" si="4"/>
        <v>236.52</v>
      </c>
    </row>
    <row r="9" spans="1:20" ht="30" x14ac:dyDescent="0.25">
      <c r="A9" s="155" t="s">
        <v>208</v>
      </c>
      <c r="B9" s="157" t="s">
        <v>261</v>
      </c>
      <c r="C9" s="154" t="s">
        <v>260</v>
      </c>
      <c r="D9" s="154">
        <v>10</v>
      </c>
      <c r="E9" s="147"/>
      <c r="F9" s="147"/>
      <c r="G9" s="147"/>
      <c r="H9" s="147"/>
      <c r="I9" s="146"/>
      <c r="J9" s="146"/>
      <c r="K9" s="146">
        <v>21.72</v>
      </c>
      <c r="L9" s="146">
        <f t="shared" si="0"/>
        <v>217.2</v>
      </c>
      <c r="M9" s="146">
        <v>4.03</v>
      </c>
      <c r="N9" s="146">
        <f t="shared" si="1"/>
        <v>40.300000000000004</v>
      </c>
      <c r="O9" s="146">
        <v>90.93</v>
      </c>
      <c r="P9" s="146">
        <f t="shared" si="2"/>
        <v>909.30000000000007</v>
      </c>
      <c r="Q9" s="146">
        <v>46.07</v>
      </c>
      <c r="R9" s="164">
        <f t="shared" si="3"/>
        <v>10</v>
      </c>
      <c r="S9" s="146">
        <f>AVERAGE(K9,Q9)</f>
        <v>33.894999999999996</v>
      </c>
      <c r="T9" s="146">
        <f t="shared" si="4"/>
        <v>338.94999999999993</v>
      </c>
    </row>
    <row r="10" spans="1:20" ht="34.5" customHeight="1" x14ac:dyDescent="0.25">
      <c r="A10" s="155" t="s">
        <v>209</v>
      </c>
      <c r="B10" s="158" t="s">
        <v>262</v>
      </c>
      <c r="C10" s="154" t="s">
        <v>259</v>
      </c>
      <c r="D10" s="154">
        <v>2</v>
      </c>
      <c r="E10" s="147">
        <v>12.9</v>
      </c>
      <c r="F10" s="147"/>
      <c r="G10" s="147"/>
      <c r="H10" s="147"/>
      <c r="I10" s="146"/>
      <c r="J10" s="146"/>
      <c r="K10" s="146">
        <v>19.95</v>
      </c>
      <c r="L10" s="146">
        <f t="shared" si="0"/>
        <v>39.9</v>
      </c>
      <c r="M10" s="146">
        <v>16.68</v>
      </c>
      <c r="N10" s="146">
        <f t="shared" si="1"/>
        <v>33.36</v>
      </c>
      <c r="O10" s="146">
        <v>21.96</v>
      </c>
      <c r="P10" s="146">
        <f t="shared" si="2"/>
        <v>43.92</v>
      </c>
      <c r="Q10" s="146">
        <v>13.69</v>
      </c>
      <c r="R10" s="164">
        <f t="shared" si="3"/>
        <v>2</v>
      </c>
      <c r="S10" s="146">
        <f>MEDIAN(K10,M10,O10)</f>
        <v>19.95</v>
      </c>
      <c r="T10" s="146">
        <f t="shared" si="4"/>
        <v>39.9</v>
      </c>
    </row>
    <row r="11" spans="1:20" ht="128.25" customHeight="1" x14ac:dyDescent="0.25">
      <c r="A11" s="155" t="s">
        <v>210</v>
      </c>
      <c r="B11" s="158" t="s">
        <v>263</v>
      </c>
      <c r="C11" s="154" t="s">
        <v>257</v>
      </c>
      <c r="D11" s="154">
        <v>6</v>
      </c>
      <c r="E11" s="147"/>
      <c r="F11" s="147"/>
      <c r="G11" s="147"/>
      <c r="H11" s="147"/>
      <c r="I11" s="146"/>
      <c r="J11" s="146"/>
      <c r="K11" s="146">
        <v>977</v>
      </c>
      <c r="L11" s="146">
        <f t="shared" si="0"/>
        <v>5862</v>
      </c>
      <c r="M11" s="146">
        <v>816.5</v>
      </c>
      <c r="N11" s="146">
        <f t="shared" si="1"/>
        <v>4899</v>
      </c>
      <c r="O11" s="146">
        <v>1200.99</v>
      </c>
      <c r="P11" s="146">
        <f t="shared" si="2"/>
        <v>7205.9400000000005</v>
      </c>
      <c r="Q11" s="146">
        <v>977.77</v>
      </c>
      <c r="R11" s="164">
        <f t="shared" si="3"/>
        <v>6</v>
      </c>
      <c r="S11" s="146">
        <f>AVERAGE(K11,M11,O11,Q11)</f>
        <v>993.06499999999994</v>
      </c>
      <c r="T11" s="146">
        <f t="shared" si="4"/>
        <v>5958.3899999999994</v>
      </c>
    </row>
    <row r="12" spans="1:20" ht="105" x14ac:dyDescent="0.25">
      <c r="A12" s="155" t="s">
        <v>211</v>
      </c>
      <c r="B12" s="155" t="s">
        <v>264</v>
      </c>
      <c r="C12" s="154" t="s">
        <v>257</v>
      </c>
      <c r="D12" s="154">
        <v>6</v>
      </c>
      <c r="E12" s="147"/>
      <c r="F12" s="147"/>
      <c r="G12" s="147"/>
      <c r="H12" s="147"/>
      <c r="I12" s="146"/>
      <c r="J12" s="146"/>
      <c r="K12" s="146">
        <v>977</v>
      </c>
      <c r="L12" s="146">
        <f t="shared" si="0"/>
        <v>5862</v>
      </c>
      <c r="M12" s="146">
        <v>816.5</v>
      </c>
      <c r="N12" s="146">
        <f t="shared" si="1"/>
        <v>4899</v>
      </c>
      <c r="O12" s="146">
        <v>1200.99</v>
      </c>
      <c r="P12" s="146">
        <f t="shared" si="2"/>
        <v>7205.9400000000005</v>
      </c>
      <c r="Q12" s="146"/>
      <c r="R12" s="164"/>
      <c r="S12" s="146">
        <f>AVERAGE(K12,O12)</f>
        <v>1088.9949999999999</v>
      </c>
      <c r="T12" s="146">
        <f t="shared" si="4"/>
        <v>6533.9699999999993</v>
      </c>
    </row>
    <row r="13" spans="1:20" ht="71.25" customHeight="1" x14ac:dyDescent="0.25">
      <c r="A13" s="155" t="s">
        <v>212</v>
      </c>
      <c r="B13" s="159" t="s">
        <v>265</v>
      </c>
      <c r="C13" s="154" t="s">
        <v>260</v>
      </c>
      <c r="D13" s="154">
        <v>50</v>
      </c>
      <c r="E13" s="147"/>
      <c r="F13" s="147"/>
      <c r="G13" s="147">
        <v>3.73</v>
      </c>
      <c r="H13" s="147"/>
      <c r="I13" s="146">
        <v>13.72</v>
      </c>
      <c r="J13" s="146"/>
      <c r="K13" s="146">
        <v>79</v>
      </c>
      <c r="L13" s="146">
        <f t="shared" si="0"/>
        <v>3950</v>
      </c>
      <c r="M13" s="146">
        <v>2.19</v>
      </c>
      <c r="N13" s="146">
        <f t="shared" si="1"/>
        <v>109.5</v>
      </c>
      <c r="O13" s="146">
        <v>2.25</v>
      </c>
      <c r="P13" s="146">
        <f t="shared" si="2"/>
        <v>112.5</v>
      </c>
      <c r="Q13" s="146">
        <v>1.38</v>
      </c>
      <c r="R13" s="164">
        <f t="shared" si="3"/>
        <v>50</v>
      </c>
      <c r="S13" s="146">
        <f>AVERAGE(I13)</f>
        <v>13.72</v>
      </c>
      <c r="T13" s="146">
        <f t="shared" si="4"/>
        <v>686</v>
      </c>
    </row>
    <row r="14" spans="1:20" ht="45" x14ac:dyDescent="0.25">
      <c r="A14" s="155" t="s">
        <v>213</v>
      </c>
      <c r="B14" s="160" t="s">
        <v>266</v>
      </c>
      <c r="C14" s="154" t="s">
        <v>260</v>
      </c>
      <c r="D14" s="154">
        <v>200</v>
      </c>
      <c r="E14" s="147"/>
      <c r="F14" s="147"/>
      <c r="G14" s="147">
        <v>3.73</v>
      </c>
      <c r="H14" s="147"/>
      <c r="I14" s="146">
        <v>13.72</v>
      </c>
      <c r="J14" s="146"/>
      <c r="K14" s="146">
        <v>59.9</v>
      </c>
      <c r="L14" s="146">
        <f t="shared" si="0"/>
        <v>11980</v>
      </c>
      <c r="M14" s="146">
        <v>1.55</v>
      </c>
      <c r="N14" s="146">
        <f t="shared" si="1"/>
        <v>310</v>
      </c>
      <c r="O14" s="146">
        <v>2.85</v>
      </c>
      <c r="P14" s="146">
        <f t="shared" si="2"/>
        <v>570</v>
      </c>
      <c r="Q14" s="146">
        <v>1.38</v>
      </c>
      <c r="R14" s="164">
        <f t="shared" si="3"/>
        <v>200</v>
      </c>
      <c r="S14" s="146">
        <f>AVERAGE(I14)</f>
        <v>13.72</v>
      </c>
      <c r="T14" s="146">
        <f t="shared" si="4"/>
        <v>2744</v>
      </c>
    </row>
    <row r="15" spans="1:20" ht="30" x14ac:dyDescent="0.25">
      <c r="A15" s="155" t="s">
        <v>214</v>
      </c>
      <c r="B15" s="157" t="s">
        <v>267</v>
      </c>
      <c r="C15" s="154" t="s">
        <v>255</v>
      </c>
      <c r="D15" s="154">
        <v>2</v>
      </c>
      <c r="E15" s="147">
        <v>7.5</v>
      </c>
      <c r="F15" s="147"/>
      <c r="G15" s="147"/>
      <c r="H15" s="147"/>
      <c r="I15" s="146"/>
      <c r="J15" s="146"/>
      <c r="K15" s="146">
        <v>19.7</v>
      </c>
      <c r="L15" s="146">
        <f t="shared" si="0"/>
        <v>39.4</v>
      </c>
      <c r="M15" s="146">
        <v>19.440000000000001</v>
      </c>
      <c r="N15" s="146">
        <f t="shared" si="1"/>
        <v>38.880000000000003</v>
      </c>
      <c r="O15" s="146">
        <v>33.42</v>
      </c>
      <c r="P15" s="146">
        <f t="shared" si="2"/>
        <v>66.84</v>
      </c>
      <c r="Q15" s="146">
        <v>9.6</v>
      </c>
      <c r="R15" s="164">
        <f t="shared" si="3"/>
        <v>2</v>
      </c>
      <c r="S15" s="146">
        <f>AVERAGE(K15,M15,Q15)</f>
        <v>16.246666666666666</v>
      </c>
      <c r="T15" s="146">
        <f t="shared" si="4"/>
        <v>32.493333333333332</v>
      </c>
    </row>
    <row r="16" spans="1:20" ht="75" x14ac:dyDescent="0.25">
      <c r="A16" s="155" t="s">
        <v>215</v>
      </c>
      <c r="B16" s="157" t="s">
        <v>268</v>
      </c>
      <c r="C16" s="154" t="s">
        <v>257</v>
      </c>
      <c r="D16" s="154">
        <v>20</v>
      </c>
      <c r="E16" s="147"/>
      <c r="F16" s="147"/>
      <c r="G16" s="147"/>
      <c r="H16" s="147"/>
      <c r="I16" s="146"/>
      <c r="J16" s="146"/>
      <c r="K16" s="146">
        <v>18.32</v>
      </c>
      <c r="L16" s="146">
        <f t="shared" si="0"/>
        <v>366.4</v>
      </c>
      <c r="M16" s="146">
        <v>6.67</v>
      </c>
      <c r="N16" s="146">
        <f t="shared" si="1"/>
        <v>133.4</v>
      </c>
      <c r="O16" s="146">
        <v>22.47</v>
      </c>
      <c r="P16" s="146">
        <f t="shared" si="2"/>
        <v>449.4</v>
      </c>
      <c r="Q16" s="146">
        <v>4.49</v>
      </c>
      <c r="R16" s="164">
        <f t="shared" si="3"/>
        <v>20</v>
      </c>
      <c r="S16" s="146">
        <f>AVERAGE(K16,O16)</f>
        <v>20.395</v>
      </c>
      <c r="T16" s="146">
        <f t="shared" si="4"/>
        <v>407.9</v>
      </c>
    </row>
    <row r="17" spans="1:20" ht="45" x14ac:dyDescent="0.25">
      <c r="A17" s="155" t="s">
        <v>216</v>
      </c>
      <c r="B17" s="157" t="s">
        <v>269</v>
      </c>
      <c r="C17" s="154" t="s">
        <v>259</v>
      </c>
      <c r="D17" s="154">
        <v>4</v>
      </c>
      <c r="E17" s="147"/>
      <c r="F17" s="147"/>
      <c r="G17" s="147">
        <v>26.71</v>
      </c>
      <c r="H17" s="147"/>
      <c r="I17" s="146"/>
      <c r="J17" s="146"/>
      <c r="K17" s="146">
        <v>53.79</v>
      </c>
      <c r="L17" s="146">
        <f t="shared" si="0"/>
        <v>215.16</v>
      </c>
      <c r="M17" s="146">
        <v>45.89</v>
      </c>
      <c r="N17" s="146">
        <f t="shared" si="1"/>
        <v>183.56</v>
      </c>
      <c r="O17" s="146">
        <v>34.47</v>
      </c>
      <c r="P17" s="146">
        <f t="shared" si="2"/>
        <v>137.88</v>
      </c>
      <c r="Q17" s="146">
        <v>32.19</v>
      </c>
      <c r="R17" s="164">
        <f t="shared" si="3"/>
        <v>4</v>
      </c>
      <c r="S17" s="146">
        <f>AVERAGE(K17,M17,O17,Q17)</f>
        <v>41.585000000000001</v>
      </c>
      <c r="T17" s="146">
        <f t="shared" si="4"/>
        <v>166.34</v>
      </c>
    </row>
    <row r="18" spans="1:20" ht="45" x14ac:dyDescent="0.25">
      <c r="A18" s="155" t="s">
        <v>217</v>
      </c>
      <c r="B18" s="157" t="s">
        <v>270</v>
      </c>
      <c r="C18" s="154" t="s">
        <v>259</v>
      </c>
      <c r="D18" s="154">
        <v>4</v>
      </c>
      <c r="E18" s="147"/>
      <c r="F18" s="147"/>
      <c r="G18" s="147">
        <v>26.71</v>
      </c>
      <c r="H18" s="147"/>
      <c r="I18" s="146"/>
      <c r="J18" s="146"/>
      <c r="K18" s="146">
        <v>53.79</v>
      </c>
      <c r="L18" s="146">
        <f t="shared" si="0"/>
        <v>215.16</v>
      </c>
      <c r="M18" s="146">
        <v>45.89</v>
      </c>
      <c r="N18" s="146">
        <f t="shared" si="1"/>
        <v>183.56</v>
      </c>
      <c r="O18" s="146">
        <v>34.47</v>
      </c>
      <c r="P18" s="146">
        <f t="shared" si="2"/>
        <v>137.88</v>
      </c>
      <c r="Q18" s="146">
        <v>22.9</v>
      </c>
      <c r="R18" s="164">
        <f t="shared" si="3"/>
        <v>4</v>
      </c>
      <c r="S18" s="146">
        <f>AVERAGE(K18,M18,O18)</f>
        <v>44.716666666666669</v>
      </c>
      <c r="T18" s="146">
        <f t="shared" si="4"/>
        <v>178.86666666666667</v>
      </c>
    </row>
    <row r="19" spans="1:20" ht="30" x14ac:dyDescent="0.25">
      <c r="A19" s="155" t="s">
        <v>218</v>
      </c>
      <c r="B19" s="157" t="s">
        <v>317</v>
      </c>
      <c r="C19" s="154" t="s">
        <v>259</v>
      </c>
      <c r="D19" s="154">
        <v>140</v>
      </c>
      <c r="E19" s="148"/>
      <c r="F19" s="147"/>
      <c r="G19" s="147">
        <v>25.34</v>
      </c>
      <c r="H19" s="147"/>
      <c r="I19" s="146"/>
      <c r="J19" s="146"/>
      <c r="K19" s="152">
        <v>26.99</v>
      </c>
      <c r="L19" s="146">
        <f t="shared" si="0"/>
        <v>3778.6</v>
      </c>
      <c r="M19" s="146">
        <v>22.89</v>
      </c>
      <c r="N19" s="146">
        <f t="shared" si="1"/>
        <v>3204.6</v>
      </c>
      <c r="O19" s="146">
        <v>103.5</v>
      </c>
      <c r="P19" s="146">
        <f t="shared" si="2"/>
        <v>14490</v>
      </c>
      <c r="Q19" s="146">
        <v>15.9</v>
      </c>
      <c r="R19" s="164">
        <f t="shared" si="3"/>
        <v>140</v>
      </c>
      <c r="S19" s="146">
        <f>AVERAGE(G19,K19,M19)</f>
        <v>25.073333333333334</v>
      </c>
      <c r="T19" s="146">
        <f t="shared" si="4"/>
        <v>3510.2666666666669</v>
      </c>
    </row>
    <row r="20" spans="1:20" ht="45" x14ac:dyDescent="0.25">
      <c r="A20" s="155" t="s">
        <v>219</v>
      </c>
      <c r="B20" s="158" t="s">
        <v>271</v>
      </c>
      <c r="C20" s="154" t="s">
        <v>257</v>
      </c>
      <c r="D20" s="154">
        <v>20</v>
      </c>
      <c r="E20" s="147"/>
      <c r="F20" s="147"/>
      <c r="G20" s="147"/>
      <c r="H20" s="147"/>
      <c r="I20" s="146"/>
      <c r="J20" s="146"/>
      <c r="K20" s="146">
        <v>17.7</v>
      </c>
      <c r="L20" s="146">
        <f t="shared" si="0"/>
        <v>354</v>
      </c>
      <c r="M20" s="146">
        <v>19.440000000000001</v>
      </c>
      <c r="N20" s="146">
        <f t="shared" si="1"/>
        <v>388.8</v>
      </c>
      <c r="O20" s="146">
        <v>29.7</v>
      </c>
      <c r="P20" s="146">
        <f t="shared" si="2"/>
        <v>594</v>
      </c>
      <c r="Q20" s="146">
        <v>17.7</v>
      </c>
      <c r="R20" s="164">
        <f t="shared" si="3"/>
        <v>20</v>
      </c>
      <c r="S20" s="146">
        <f>AVERAGE(K20,M20,Q20)</f>
        <v>18.28</v>
      </c>
      <c r="T20" s="146">
        <f t="shared" si="4"/>
        <v>365.6</v>
      </c>
    </row>
    <row r="21" spans="1:20" ht="30" x14ac:dyDescent="0.25">
      <c r="A21" s="155" t="s">
        <v>220</v>
      </c>
      <c r="B21" s="157" t="s">
        <v>272</v>
      </c>
      <c r="C21" s="154" t="s">
        <v>260</v>
      </c>
      <c r="D21" s="154">
        <v>5</v>
      </c>
      <c r="E21" s="147"/>
      <c r="F21" s="147"/>
      <c r="G21" s="147"/>
      <c r="H21" s="147"/>
      <c r="I21" s="146"/>
      <c r="J21" s="146"/>
      <c r="K21" s="146">
        <v>13.94</v>
      </c>
      <c r="L21" s="146">
        <f t="shared" si="0"/>
        <v>69.7</v>
      </c>
      <c r="M21" s="146">
        <v>19.440000000000001</v>
      </c>
      <c r="N21" s="146">
        <f t="shared" si="1"/>
        <v>97.2</v>
      </c>
      <c r="O21" s="146">
        <v>44.19</v>
      </c>
      <c r="P21" s="146">
        <f t="shared" si="2"/>
        <v>220.95</v>
      </c>
      <c r="Q21" s="146">
        <v>17.7</v>
      </c>
      <c r="R21" s="164">
        <f t="shared" si="3"/>
        <v>5</v>
      </c>
      <c r="S21" s="146">
        <f>AVERAGE(K21,M21,Q21)</f>
        <v>17.026666666666667</v>
      </c>
      <c r="T21" s="146">
        <f t="shared" si="4"/>
        <v>85.13333333333334</v>
      </c>
    </row>
    <row r="22" spans="1:20" x14ac:dyDescent="0.25">
      <c r="A22" s="155" t="s">
        <v>273</v>
      </c>
      <c r="B22" s="158" t="s">
        <v>274</v>
      </c>
      <c r="C22" s="154" t="s">
        <v>257</v>
      </c>
      <c r="D22" s="154">
        <v>2</v>
      </c>
      <c r="E22" s="147">
        <v>16.84</v>
      </c>
      <c r="F22" s="147"/>
      <c r="G22" s="147"/>
      <c r="H22" s="147"/>
      <c r="I22" s="146"/>
      <c r="J22" s="146"/>
      <c r="K22" s="146">
        <v>20</v>
      </c>
      <c r="L22" s="146">
        <f t="shared" si="0"/>
        <v>40</v>
      </c>
      <c r="M22" s="146">
        <v>27.49</v>
      </c>
      <c r="N22" s="146">
        <f t="shared" si="1"/>
        <v>54.98</v>
      </c>
      <c r="O22" s="146">
        <v>36.270000000000003</v>
      </c>
      <c r="P22" s="146">
        <f t="shared" si="2"/>
        <v>72.540000000000006</v>
      </c>
      <c r="Q22" s="146">
        <v>10.34</v>
      </c>
      <c r="R22" s="164">
        <f t="shared" si="3"/>
        <v>2</v>
      </c>
      <c r="S22" s="146">
        <f>AVERAGE(K22,M22,O22)</f>
        <v>27.919999999999998</v>
      </c>
      <c r="T22" s="146">
        <f t="shared" si="4"/>
        <v>55.839999999999996</v>
      </c>
    </row>
    <row r="23" spans="1:20" ht="45" x14ac:dyDescent="0.25">
      <c r="A23" s="155" t="s">
        <v>275</v>
      </c>
      <c r="B23" s="157" t="s">
        <v>276</v>
      </c>
      <c r="C23" s="154" t="s">
        <v>257</v>
      </c>
      <c r="D23" s="154">
        <v>9</v>
      </c>
      <c r="E23" s="147"/>
      <c r="F23" s="147"/>
      <c r="G23" s="147"/>
      <c r="H23" s="147"/>
      <c r="I23" s="146"/>
      <c r="J23" s="146"/>
      <c r="K23" s="146">
        <v>73.5</v>
      </c>
      <c r="L23" s="146">
        <f t="shared" si="0"/>
        <v>661.5</v>
      </c>
      <c r="M23" s="146">
        <v>275.89</v>
      </c>
      <c r="N23" s="146">
        <f t="shared" si="1"/>
        <v>2483.0099999999998</v>
      </c>
      <c r="O23" s="146">
        <v>116.73</v>
      </c>
      <c r="P23" s="146">
        <f t="shared" si="2"/>
        <v>1050.57</v>
      </c>
      <c r="Q23" s="146"/>
      <c r="R23" s="164">
        <f t="shared" si="3"/>
        <v>9</v>
      </c>
      <c r="S23" s="146">
        <f>AVERAGE(M23,O23)</f>
        <v>196.31</v>
      </c>
      <c r="T23" s="146">
        <f t="shared" si="4"/>
        <v>1766.79</v>
      </c>
    </row>
    <row r="24" spans="1:20" ht="45" x14ac:dyDescent="0.25">
      <c r="A24" s="155" t="s">
        <v>277</v>
      </c>
      <c r="B24" s="157" t="s">
        <v>278</v>
      </c>
      <c r="C24" s="154" t="s">
        <v>257</v>
      </c>
      <c r="D24" s="154">
        <v>2</v>
      </c>
      <c r="E24" s="147">
        <v>294</v>
      </c>
      <c r="F24" s="147"/>
      <c r="G24" s="147">
        <v>40.44</v>
      </c>
      <c r="H24" s="147"/>
      <c r="I24" s="146">
        <v>47.9</v>
      </c>
      <c r="J24" s="146"/>
      <c r="K24" s="146">
        <v>49.58</v>
      </c>
      <c r="L24" s="146">
        <f t="shared" si="0"/>
        <v>99.16</v>
      </c>
      <c r="M24" s="146">
        <v>56.24</v>
      </c>
      <c r="N24" s="146">
        <f t="shared" si="1"/>
        <v>112.48</v>
      </c>
      <c r="O24" s="146">
        <v>37.47</v>
      </c>
      <c r="P24" s="146">
        <f t="shared" si="2"/>
        <v>74.94</v>
      </c>
      <c r="Q24" s="146">
        <v>37.200000000000003</v>
      </c>
      <c r="R24" s="164">
        <f t="shared" si="3"/>
        <v>2</v>
      </c>
      <c r="S24" s="146">
        <f>AVERAGE(G24,I24,K24,M24)</f>
        <v>48.540000000000006</v>
      </c>
      <c r="T24" s="146">
        <f t="shared" si="4"/>
        <v>97.080000000000013</v>
      </c>
    </row>
    <row r="25" spans="1:20" x14ac:dyDescent="0.25">
      <c r="A25" s="155" t="s">
        <v>221</v>
      </c>
      <c r="B25" s="157" t="s">
        <v>279</v>
      </c>
      <c r="C25" s="154" t="s">
        <v>257</v>
      </c>
      <c r="D25" s="154">
        <v>2</v>
      </c>
      <c r="E25" s="147"/>
      <c r="F25" s="147"/>
      <c r="G25" s="147"/>
      <c r="H25" s="147"/>
      <c r="I25" s="146"/>
      <c r="J25" s="146"/>
      <c r="K25" s="146">
        <v>299.95</v>
      </c>
      <c r="L25" s="146">
        <f t="shared" si="0"/>
        <v>599.9</v>
      </c>
      <c r="M25" s="146">
        <v>80.39</v>
      </c>
      <c r="N25" s="146">
        <f t="shared" si="1"/>
        <v>160.78</v>
      </c>
      <c r="O25" s="146">
        <v>687</v>
      </c>
      <c r="P25" s="146">
        <f t="shared" si="2"/>
        <v>1374</v>
      </c>
      <c r="Q25" s="146">
        <v>239</v>
      </c>
      <c r="R25" s="164">
        <f t="shared" si="3"/>
        <v>2</v>
      </c>
      <c r="S25" s="146">
        <f>AVERAGE(K25,Q25)</f>
        <v>269.47500000000002</v>
      </c>
      <c r="T25" s="146">
        <f t="shared" si="4"/>
        <v>538.95000000000005</v>
      </c>
    </row>
    <row r="26" spans="1:20" x14ac:dyDescent="0.25">
      <c r="A26" s="155" t="s">
        <v>222</v>
      </c>
      <c r="B26" s="157" t="s">
        <v>280</v>
      </c>
      <c r="C26" s="154" t="s">
        <v>257</v>
      </c>
      <c r="D26" s="154">
        <v>5</v>
      </c>
      <c r="E26" s="147"/>
      <c r="F26" s="147"/>
      <c r="G26" s="147"/>
      <c r="H26" s="147"/>
      <c r="I26" s="146"/>
      <c r="J26" s="146"/>
      <c r="K26" s="146">
        <v>21</v>
      </c>
      <c r="L26" s="146">
        <f t="shared" si="0"/>
        <v>105</v>
      </c>
      <c r="M26" s="146">
        <v>18.29</v>
      </c>
      <c r="N26" s="146">
        <f t="shared" si="1"/>
        <v>91.449999999999989</v>
      </c>
      <c r="O26" s="146">
        <v>28.53</v>
      </c>
      <c r="P26" s="146">
        <f t="shared" si="2"/>
        <v>142.65</v>
      </c>
      <c r="Q26" s="146">
        <v>10.220000000000001</v>
      </c>
      <c r="R26" s="164">
        <f t="shared" si="3"/>
        <v>5</v>
      </c>
      <c r="S26" s="146">
        <f>AVERAGE(K26,O26)</f>
        <v>24.765000000000001</v>
      </c>
      <c r="T26" s="146">
        <f t="shared" si="4"/>
        <v>123.825</v>
      </c>
    </row>
    <row r="27" spans="1:20" x14ac:dyDescent="0.25">
      <c r="A27" s="155" t="s">
        <v>188</v>
      </c>
      <c r="B27" s="393" t="s">
        <v>281</v>
      </c>
      <c r="C27" s="393"/>
      <c r="D27" s="393"/>
      <c r="E27" s="147"/>
      <c r="F27" s="147"/>
      <c r="G27" s="147"/>
      <c r="H27" s="147"/>
      <c r="I27" s="146"/>
      <c r="J27" s="146"/>
      <c r="K27" s="146"/>
      <c r="L27" s="146"/>
      <c r="M27" s="146"/>
      <c r="N27" s="146"/>
      <c r="O27" s="146"/>
      <c r="P27" s="146"/>
      <c r="Q27" s="146"/>
      <c r="R27" s="164"/>
      <c r="S27" s="154"/>
      <c r="T27" s="146"/>
    </row>
    <row r="28" spans="1:20" ht="30" x14ac:dyDescent="0.25">
      <c r="A28" s="155" t="s">
        <v>43</v>
      </c>
      <c r="B28" s="158" t="s">
        <v>282</v>
      </c>
      <c r="C28" s="154" t="s">
        <v>257</v>
      </c>
      <c r="D28" s="154">
        <v>2</v>
      </c>
      <c r="E28" s="147"/>
      <c r="F28" s="147"/>
      <c r="G28" s="147"/>
      <c r="H28" s="147"/>
      <c r="I28" s="146"/>
      <c r="J28" s="146"/>
      <c r="K28" s="146">
        <v>1600</v>
      </c>
      <c r="L28" s="146">
        <f>K28*D28</f>
        <v>3200</v>
      </c>
      <c r="M28" s="146">
        <v>8383.85</v>
      </c>
      <c r="N28" s="146">
        <f t="shared" si="1"/>
        <v>16767.7</v>
      </c>
      <c r="O28" s="146">
        <v>14495.06</v>
      </c>
      <c r="P28" s="146">
        <f>O28*D28</f>
        <v>28990.12</v>
      </c>
      <c r="Q28" s="146">
        <v>6501</v>
      </c>
      <c r="R28" s="164">
        <f t="shared" si="3"/>
        <v>2</v>
      </c>
      <c r="S28" s="146">
        <f>AVERAGE(M28,Q28)</f>
        <v>7442.4250000000002</v>
      </c>
      <c r="T28" s="146">
        <f t="shared" si="4"/>
        <v>14884.85</v>
      </c>
    </row>
    <row r="29" spans="1:20" ht="30.75" customHeight="1" x14ac:dyDescent="0.25">
      <c r="A29" s="155" t="s">
        <v>48</v>
      </c>
      <c r="B29" s="158" t="s">
        <v>283</v>
      </c>
      <c r="C29" s="154" t="s">
        <v>257</v>
      </c>
      <c r="D29" s="154">
        <v>50</v>
      </c>
      <c r="E29" s="147"/>
      <c r="F29" s="147"/>
      <c r="G29" s="147"/>
      <c r="H29" s="147"/>
      <c r="I29" s="146"/>
      <c r="J29" s="146"/>
      <c r="K29" s="146">
        <v>5.7</v>
      </c>
      <c r="L29" s="146">
        <f t="shared" ref="L29:L36" si="5">K29*D29</f>
        <v>285</v>
      </c>
      <c r="M29" s="146">
        <v>4.8899999999999997</v>
      </c>
      <c r="N29" s="146">
        <f t="shared" si="1"/>
        <v>244.49999999999997</v>
      </c>
      <c r="O29" s="146">
        <v>15.54</v>
      </c>
      <c r="P29" s="146">
        <f t="shared" ref="P29:P36" si="6">O29*D29</f>
        <v>777</v>
      </c>
      <c r="Q29" s="146">
        <v>5.17</v>
      </c>
      <c r="R29" s="164">
        <f t="shared" si="3"/>
        <v>50</v>
      </c>
      <c r="S29" s="146">
        <f>AVERAGE(K29,M29,Q29)</f>
        <v>5.253333333333333</v>
      </c>
      <c r="T29" s="146">
        <f t="shared" si="4"/>
        <v>262.66666666666663</v>
      </c>
    </row>
    <row r="30" spans="1:20" x14ac:dyDescent="0.25">
      <c r="A30" s="155" t="s">
        <v>63</v>
      </c>
      <c r="B30" s="158" t="s">
        <v>284</v>
      </c>
      <c r="C30" s="154" t="s">
        <v>257</v>
      </c>
      <c r="D30" s="154">
        <v>10</v>
      </c>
      <c r="E30" s="147"/>
      <c r="F30" s="147"/>
      <c r="G30" s="147"/>
      <c r="H30" s="147"/>
      <c r="I30" s="146"/>
      <c r="J30" s="146"/>
      <c r="K30" s="146">
        <v>35.200000000000003</v>
      </c>
      <c r="L30" s="146">
        <f t="shared" si="5"/>
        <v>352</v>
      </c>
      <c r="M30" s="146">
        <v>36.69</v>
      </c>
      <c r="N30" s="146">
        <f t="shared" si="1"/>
        <v>366.9</v>
      </c>
      <c r="O30" s="146">
        <v>15.15</v>
      </c>
      <c r="P30" s="146">
        <f t="shared" si="6"/>
        <v>151.5</v>
      </c>
      <c r="Q30" s="146">
        <v>5.05</v>
      </c>
      <c r="R30" s="164">
        <f t="shared" si="3"/>
        <v>10</v>
      </c>
      <c r="S30" s="146">
        <f>AVERAGE(K30,M30)</f>
        <v>35.945</v>
      </c>
      <c r="T30" s="146">
        <f t="shared" si="4"/>
        <v>359.45</v>
      </c>
    </row>
    <row r="31" spans="1:20" x14ac:dyDescent="0.25">
      <c r="A31" s="155" t="s">
        <v>223</v>
      </c>
      <c r="B31" s="158" t="s">
        <v>285</v>
      </c>
      <c r="C31" s="154" t="s">
        <v>257</v>
      </c>
      <c r="D31" s="154">
        <v>10</v>
      </c>
      <c r="E31" s="147"/>
      <c r="F31" s="147"/>
      <c r="G31" s="147"/>
      <c r="H31" s="147"/>
      <c r="I31" s="146"/>
      <c r="J31" s="146"/>
      <c r="K31" s="146">
        <v>35.200000000000003</v>
      </c>
      <c r="L31" s="146">
        <f t="shared" si="5"/>
        <v>352</v>
      </c>
      <c r="M31" s="146">
        <v>36.69</v>
      </c>
      <c r="N31" s="146">
        <f t="shared" si="1"/>
        <v>366.9</v>
      </c>
      <c r="O31" s="146">
        <v>15.15</v>
      </c>
      <c r="P31" s="146">
        <f t="shared" si="6"/>
        <v>151.5</v>
      </c>
      <c r="Q31" s="146">
        <v>6.67</v>
      </c>
      <c r="R31" s="164">
        <f t="shared" si="3"/>
        <v>10</v>
      </c>
      <c r="S31" s="146">
        <f>AVERAGE(K31,M31)</f>
        <v>35.945</v>
      </c>
      <c r="T31" s="146">
        <f t="shared" si="4"/>
        <v>359.45</v>
      </c>
    </row>
    <row r="32" spans="1:20" x14ac:dyDescent="0.25">
      <c r="A32" s="155" t="s">
        <v>224</v>
      </c>
      <c r="B32" s="158" t="s">
        <v>286</v>
      </c>
      <c r="C32" s="154" t="s">
        <v>257</v>
      </c>
      <c r="D32" s="154">
        <v>20</v>
      </c>
      <c r="E32" s="147"/>
      <c r="F32" s="147"/>
      <c r="G32" s="147"/>
      <c r="H32" s="147"/>
      <c r="I32" s="146"/>
      <c r="J32" s="146"/>
      <c r="K32" s="146">
        <v>1.5</v>
      </c>
      <c r="L32" s="146">
        <f t="shared" si="5"/>
        <v>30</v>
      </c>
      <c r="M32" s="146">
        <v>6.61</v>
      </c>
      <c r="N32" s="146">
        <f t="shared" si="1"/>
        <v>132.20000000000002</v>
      </c>
      <c r="O32" s="146">
        <v>11.97</v>
      </c>
      <c r="P32" s="146">
        <f t="shared" si="6"/>
        <v>239.4</v>
      </c>
      <c r="Q32" s="146">
        <v>10</v>
      </c>
      <c r="R32" s="164">
        <f t="shared" si="3"/>
        <v>20</v>
      </c>
      <c r="S32" s="146">
        <f>AVERAGE(Q32,O32)</f>
        <v>10.984999999999999</v>
      </c>
      <c r="T32" s="146">
        <f t="shared" si="4"/>
        <v>219.7</v>
      </c>
    </row>
    <row r="33" spans="1:20" x14ac:dyDescent="0.25">
      <c r="A33" s="155" t="s">
        <v>225</v>
      </c>
      <c r="B33" s="158" t="s">
        <v>287</v>
      </c>
      <c r="C33" s="154" t="s">
        <v>257</v>
      </c>
      <c r="D33" s="154">
        <v>2</v>
      </c>
      <c r="E33" s="147"/>
      <c r="F33" s="147"/>
      <c r="G33" s="147"/>
      <c r="H33" s="147"/>
      <c r="I33" s="146"/>
      <c r="J33" s="146"/>
      <c r="K33" s="146">
        <v>82.97</v>
      </c>
      <c r="L33" s="146">
        <f t="shared" si="5"/>
        <v>165.94</v>
      </c>
      <c r="M33" s="146">
        <v>91.43</v>
      </c>
      <c r="N33" s="146">
        <f t="shared" si="1"/>
        <v>182.86</v>
      </c>
      <c r="O33" s="146">
        <v>29.1</v>
      </c>
      <c r="P33" s="146">
        <f t="shared" si="6"/>
        <v>58.2</v>
      </c>
      <c r="Q33" s="146">
        <v>53.81</v>
      </c>
      <c r="R33" s="164">
        <f t="shared" si="3"/>
        <v>2</v>
      </c>
      <c r="S33" s="146">
        <f>AVERAGE(K33,M33)</f>
        <v>87.2</v>
      </c>
      <c r="T33" s="146">
        <f t="shared" si="4"/>
        <v>174.4</v>
      </c>
    </row>
    <row r="34" spans="1:20" ht="45" x14ac:dyDescent="0.25">
      <c r="A34" s="155" t="s">
        <v>226</v>
      </c>
      <c r="B34" s="158" t="s">
        <v>288</v>
      </c>
      <c r="C34" s="154" t="s">
        <v>257</v>
      </c>
      <c r="D34" s="154">
        <v>120</v>
      </c>
      <c r="E34" s="147"/>
      <c r="F34" s="147"/>
      <c r="G34" s="147">
        <v>10.77</v>
      </c>
      <c r="H34" s="147"/>
      <c r="I34" s="146"/>
      <c r="J34" s="146"/>
      <c r="K34" s="146">
        <v>12.41</v>
      </c>
      <c r="L34" s="146">
        <f t="shared" si="5"/>
        <v>1489.2</v>
      </c>
      <c r="M34" s="146">
        <v>10.93</v>
      </c>
      <c r="N34" s="146">
        <f t="shared" si="1"/>
        <v>1311.6</v>
      </c>
      <c r="O34" s="146">
        <v>23.94</v>
      </c>
      <c r="P34" s="146">
        <f t="shared" si="6"/>
        <v>2872.8</v>
      </c>
      <c r="Q34" s="146">
        <v>54.99</v>
      </c>
      <c r="R34" s="164">
        <f t="shared" si="3"/>
        <v>120</v>
      </c>
      <c r="S34" s="146">
        <f>AVERAGE(O34,Q34)</f>
        <v>39.465000000000003</v>
      </c>
      <c r="T34" s="146">
        <f t="shared" si="4"/>
        <v>4735.8</v>
      </c>
    </row>
    <row r="35" spans="1:20" ht="90" x14ac:dyDescent="0.25">
      <c r="A35" s="155" t="s">
        <v>227</v>
      </c>
      <c r="B35" s="159" t="s">
        <v>289</v>
      </c>
      <c r="C35" s="154" t="s">
        <v>257</v>
      </c>
      <c r="D35" s="154">
        <v>2</v>
      </c>
      <c r="E35" s="147"/>
      <c r="F35" s="147"/>
      <c r="G35" s="147">
        <v>17.8</v>
      </c>
      <c r="H35" s="147"/>
      <c r="I35" s="146"/>
      <c r="J35" s="146"/>
      <c r="K35" s="146">
        <v>15.25</v>
      </c>
      <c r="L35" s="146">
        <f t="shared" si="5"/>
        <v>30.5</v>
      </c>
      <c r="M35" s="146">
        <v>37.840000000000003</v>
      </c>
      <c r="N35" s="146">
        <f t="shared" si="1"/>
        <v>75.680000000000007</v>
      </c>
      <c r="O35" s="146">
        <v>22.64</v>
      </c>
      <c r="P35" s="146">
        <f t="shared" si="6"/>
        <v>45.28</v>
      </c>
      <c r="Q35" s="146">
        <v>18.899999999999999</v>
      </c>
      <c r="R35" s="164">
        <f t="shared" si="3"/>
        <v>2</v>
      </c>
      <c r="S35" s="146">
        <f>AVERAGE(M35,O35)</f>
        <v>30.240000000000002</v>
      </c>
      <c r="T35" s="146">
        <f t="shared" si="4"/>
        <v>60.480000000000004</v>
      </c>
    </row>
    <row r="36" spans="1:20" ht="120" x14ac:dyDescent="0.25">
      <c r="A36" s="155" t="s">
        <v>228</v>
      </c>
      <c r="B36" s="161" t="s">
        <v>290</v>
      </c>
      <c r="C36" s="154" t="s">
        <v>257</v>
      </c>
      <c r="D36" s="154">
        <v>5</v>
      </c>
      <c r="E36" s="147"/>
      <c r="F36" s="147"/>
      <c r="G36" s="147">
        <v>214.68</v>
      </c>
      <c r="H36" s="147"/>
      <c r="I36" s="146">
        <v>79.5</v>
      </c>
      <c r="J36" s="146"/>
      <c r="K36" s="146">
        <v>499.2</v>
      </c>
      <c r="L36" s="146">
        <f t="shared" si="5"/>
        <v>2496</v>
      </c>
      <c r="M36" s="146">
        <v>148.75</v>
      </c>
      <c r="N36" s="146">
        <f t="shared" si="1"/>
        <v>743.75</v>
      </c>
      <c r="O36" s="146">
        <v>311.22000000000003</v>
      </c>
      <c r="P36" s="146">
        <f t="shared" si="6"/>
        <v>1556.1000000000001</v>
      </c>
      <c r="Q36" s="146">
        <v>599</v>
      </c>
      <c r="R36" s="164">
        <f t="shared" si="3"/>
        <v>5</v>
      </c>
      <c r="S36" s="146">
        <f>AVERAGE(G36,O36)</f>
        <v>262.95000000000005</v>
      </c>
      <c r="T36" s="146">
        <f t="shared" si="4"/>
        <v>1314.7500000000002</v>
      </c>
    </row>
    <row r="37" spans="1:20" x14ac:dyDescent="0.25">
      <c r="A37" s="155" t="s">
        <v>291</v>
      </c>
      <c r="B37" s="391" t="s">
        <v>292</v>
      </c>
      <c r="C37" s="391"/>
      <c r="D37" s="391"/>
      <c r="E37" s="147"/>
      <c r="F37" s="147"/>
      <c r="G37" s="147"/>
      <c r="H37" s="147"/>
      <c r="I37" s="146"/>
      <c r="J37" s="146"/>
      <c r="K37" s="146"/>
      <c r="L37" s="146"/>
      <c r="M37" s="146"/>
      <c r="N37" s="146"/>
      <c r="O37" s="146"/>
      <c r="P37" s="146"/>
      <c r="Q37" s="146"/>
      <c r="R37" s="164"/>
      <c r="S37" s="154"/>
      <c r="T37" s="146"/>
    </row>
    <row r="38" spans="1:20" ht="60" x14ac:dyDescent="0.25">
      <c r="A38" s="155" t="s">
        <v>293</v>
      </c>
      <c r="B38" s="162" t="s">
        <v>294</v>
      </c>
      <c r="C38" s="163" t="s">
        <v>257</v>
      </c>
      <c r="D38" s="163">
        <v>8</v>
      </c>
      <c r="E38" s="147"/>
      <c r="F38" s="147"/>
      <c r="G38" s="147">
        <v>48.35</v>
      </c>
      <c r="H38" s="147"/>
      <c r="I38" s="146">
        <v>211.54</v>
      </c>
      <c r="J38" s="146"/>
      <c r="K38" s="146">
        <v>178</v>
      </c>
      <c r="L38" s="146">
        <f>K38*D38</f>
        <v>1424</v>
      </c>
      <c r="M38" s="146">
        <v>89.7</v>
      </c>
      <c r="N38" s="146">
        <f>M38*D38</f>
        <v>717.6</v>
      </c>
      <c r="O38" s="146">
        <v>36.36</v>
      </c>
      <c r="P38" s="146">
        <f>O38*D38</f>
        <v>290.88</v>
      </c>
      <c r="Q38" s="146">
        <v>164.9</v>
      </c>
      <c r="R38" s="164">
        <f t="shared" si="3"/>
        <v>8</v>
      </c>
      <c r="S38" s="146">
        <f>AVERAGE(I38,K38,Q38)</f>
        <v>184.8133333333333</v>
      </c>
      <c r="T38" s="146">
        <f t="shared" si="4"/>
        <v>1478.5066666666664</v>
      </c>
    </row>
    <row r="39" spans="1:20" ht="195" x14ac:dyDescent="0.25">
      <c r="A39" s="155" t="s">
        <v>295</v>
      </c>
      <c r="B39" s="159" t="s">
        <v>296</v>
      </c>
      <c r="C39" s="154" t="s">
        <v>257</v>
      </c>
      <c r="D39" s="154">
        <v>6</v>
      </c>
      <c r="E39" s="147"/>
      <c r="F39" s="147"/>
      <c r="G39" s="147"/>
      <c r="H39" s="147"/>
      <c r="I39" s="146"/>
      <c r="J39" s="146"/>
      <c r="K39" s="146">
        <v>1200</v>
      </c>
      <c r="L39" s="146">
        <f t="shared" ref="L39:L43" si="7">K39*D39</f>
        <v>7200</v>
      </c>
      <c r="M39" s="146">
        <v>3594.9</v>
      </c>
      <c r="N39" s="146">
        <f t="shared" ref="N39:N43" si="8">M39*D39</f>
        <v>21569.4</v>
      </c>
      <c r="O39" s="146">
        <v>3759.63</v>
      </c>
      <c r="P39" s="146">
        <f t="shared" ref="P39:P43" si="9">O39*D39</f>
        <v>22557.78</v>
      </c>
      <c r="Q39" s="146"/>
      <c r="R39" s="164">
        <f t="shared" si="3"/>
        <v>6</v>
      </c>
      <c r="S39" s="146">
        <f>AVERAGE(M39,O39)</f>
        <v>3677.2650000000003</v>
      </c>
      <c r="T39" s="146">
        <f t="shared" si="4"/>
        <v>22063.590000000004</v>
      </c>
    </row>
    <row r="40" spans="1:20" ht="210" x14ac:dyDescent="0.25">
      <c r="A40" s="155" t="s">
        <v>297</v>
      </c>
      <c r="B40" s="161" t="s">
        <v>298</v>
      </c>
      <c r="C40" s="154" t="s">
        <v>257</v>
      </c>
      <c r="D40" s="154">
        <v>6</v>
      </c>
      <c r="E40" s="147"/>
      <c r="F40" s="147"/>
      <c r="G40" s="147"/>
      <c r="H40" s="147"/>
      <c r="I40" s="146"/>
      <c r="J40" s="146"/>
      <c r="K40" s="146">
        <v>1200</v>
      </c>
      <c r="L40" s="146">
        <f t="shared" si="7"/>
        <v>7200</v>
      </c>
      <c r="M40" s="146">
        <v>3594.9</v>
      </c>
      <c r="N40" s="146">
        <f t="shared" si="8"/>
        <v>21569.4</v>
      </c>
      <c r="O40" s="146">
        <v>3759.63</v>
      </c>
      <c r="P40" s="146">
        <f t="shared" si="9"/>
        <v>22557.78</v>
      </c>
      <c r="Q40" s="146"/>
      <c r="R40" s="164">
        <f t="shared" si="3"/>
        <v>6</v>
      </c>
      <c r="S40" s="146">
        <f>AVERAGE(M40,O40)</f>
        <v>3677.2650000000003</v>
      </c>
      <c r="T40" s="146">
        <f t="shared" si="4"/>
        <v>22063.590000000004</v>
      </c>
    </row>
    <row r="41" spans="1:20" ht="30" x14ac:dyDescent="0.25">
      <c r="A41" s="155" t="s">
        <v>299</v>
      </c>
      <c r="B41" s="161" t="s">
        <v>300</v>
      </c>
      <c r="C41" s="154" t="s">
        <v>257</v>
      </c>
      <c r="D41" s="154">
        <v>20</v>
      </c>
      <c r="E41" s="147"/>
      <c r="F41" s="147"/>
      <c r="G41" s="147">
        <v>86.05</v>
      </c>
      <c r="H41" s="147"/>
      <c r="I41" s="146">
        <v>79.5</v>
      </c>
      <c r="J41" s="146"/>
      <c r="K41" s="146">
        <v>144</v>
      </c>
      <c r="L41" s="146">
        <f t="shared" si="7"/>
        <v>2880</v>
      </c>
      <c r="M41" s="146">
        <v>76.59</v>
      </c>
      <c r="N41" s="146">
        <f t="shared" si="8"/>
        <v>1531.8000000000002</v>
      </c>
      <c r="O41" s="146">
        <v>194.7</v>
      </c>
      <c r="P41" s="146">
        <f t="shared" si="9"/>
        <v>3894</v>
      </c>
      <c r="Q41" s="146"/>
      <c r="R41" s="164">
        <f t="shared" si="3"/>
        <v>20</v>
      </c>
      <c r="S41" s="146">
        <f>AVERAGE(K41,O41)</f>
        <v>169.35</v>
      </c>
      <c r="T41" s="146">
        <f t="shared" si="4"/>
        <v>3387</v>
      </c>
    </row>
    <row r="42" spans="1:20" x14ac:dyDescent="0.25">
      <c r="A42" s="155" t="s">
        <v>301</v>
      </c>
      <c r="B42" s="161" t="s">
        <v>302</v>
      </c>
      <c r="C42" s="154" t="s">
        <v>257</v>
      </c>
      <c r="D42" s="154">
        <v>15</v>
      </c>
      <c r="E42" s="147"/>
      <c r="F42" s="147"/>
      <c r="G42" s="147">
        <v>17.8</v>
      </c>
      <c r="H42" s="147"/>
      <c r="I42" s="146">
        <v>58.5</v>
      </c>
      <c r="J42" s="146"/>
      <c r="K42" s="146">
        <v>33.9</v>
      </c>
      <c r="L42" s="146">
        <f t="shared" si="7"/>
        <v>508.5</v>
      </c>
      <c r="M42" s="146">
        <v>22.43</v>
      </c>
      <c r="N42" s="146">
        <f t="shared" si="8"/>
        <v>336.45</v>
      </c>
      <c r="O42" s="146">
        <v>29.7</v>
      </c>
      <c r="P42" s="146">
        <f t="shared" si="9"/>
        <v>445.5</v>
      </c>
      <c r="Q42" s="146">
        <v>42.68</v>
      </c>
      <c r="R42" s="164">
        <f t="shared" si="3"/>
        <v>15</v>
      </c>
      <c r="S42" s="146">
        <f>AVERAGE(K42,O42,Q42)</f>
        <v>35.426666666666669</v>
      </c>
      <c r="T42" s="146">
        <f t="shared" si="4"/>
        <v>531.40000000000009</v>
      </c>
    </row>
    <row r="43" spans="1:20" ht="60" x14ac:dyDescent="0.25">
      <c r="A43" s="155" t="s">
        <v>303</v>
      </c>
      <c r="B43" s="161" t="s">
        <v>304</v>
      </c>
      <c r="C43" s="154" t="s">
        <v>257</v>
      </c>
      <c r="D43" s="154">
        <v>20</v>
      </c>
      <c r="E43" s="147"/>
      <c r="F43" s="147"/>
      <c r="G43" s="147"/>
      <c r="H43" s="147"/>
      <c r="I43" s="146"/>
      <c r="J43" s="146"/>
      <c r="K43" s="146">
        <v>421</v>
      </c>
      <c r="L43" s="146">
        <f t="shared" si="7"/>
        <v>8420</v>
      </c>
      <c r="M43" s="146">
        <v>64.400000000000006</v>
      </c>
      <c r="N43" s="146">
        <f t="shared" si="8"/>
        <v>1288</v>
      </c>
      <c r="O43" s="146">
        <v>43.5</v>
      </c>
      <c r="P43" s="146">
        <f t="shared" si="9"/>
        <v>870</v>
      </c>
      <c r="Q43" s="146">
        <v>12.24</v>
      </c>
      <c r="R43" s="164">
        <f t="shared" si="3"/>
        <v>20</v>
      </c>
      <c r="S43" s="146">
        <f>AVERAGE(M43,O43)</f>
        <v>53.95</v>
      </c>
      <c r="T43" s="146">
        <f t="shared" si="4"/>
        <v>1079</v>
      </c>
    </row>
    <row r="44" spans="1:20" x14ac:dyDescent="0.25">
      <c r="A44" s="387" t="s">
        <v>339</v>
      </c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6">
        <f>SUM(T4:T43)</f>
        <v>97341.053333333344</v>
      </c>
      <c r="T44" s="387"/>
    </row>
    <row r="45" spans="1:20" x14ac:dyDescent="0.25">
      <c r="A45" s="387" t="s">
        <v>340</v>
      </c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94">
        <f>S44/12/14</f>
        <v>579.41103174603188</v>
      </c>
      <c r="T45" s="387"/>
    </row>
    <row r="46" spans="1:20" x14ac:dyDescent="0.25">
      <c r="A46" s="387" t="s">
        <v>341</v>
      </c>
      <c r="B46" s="387"/>
      <c r="C46" s="387"/>
      <c r="D46" s="387"/>
      <c r="E46" s="387"/>
      <c r="F46" s="387"/>
      <c r="G46" s="387"/>
      <c r="H46" s="387"/>
      <c r="I46" s="387"/>
      <c r="J46" s="387"/>
      <c r="K46" s="387"/>
      <c r="L46" s="387"/>
      <c r="M46" s="387"/>
      <c r="N46" s="387"/>
      <c r="O46" s="387"/>
      <c r="P46" s="387"/>
      <c r="Q46" s="387"/>
      <c r="R46" s="387"/>
      <c r="S46" s="394">
        <f>S44/12</f>
        <v>8111.7544444444457</v>
      </c>
      <c r="T46" s="387"/>
    </row>
    <row r="47" spans="1:20" x14ac:dyDescent="0.25">
      <c r="T47" s="191">
        <f>S46</f>
        <v>8111.7544444444457</v>
      </c>
    </row>
  </sheetData>
  <mergeCells count="18">
    <mergeCell ref="S45:T45"/>
    <mergeCell ref="S46:T46"/>
    <mergeCell ref="I2:J2"/>
    <mergeCell ref="K2:L2"/>
    <mergeCell ref="M2:N2"/>
    <mergeCell ref="A45:R45"/>
    <mergeCell ref="A46:R46"/>
    <mergeCell ref="K1:P1"/>
    <mergeCell ref="S44:T44"/>
    <mergeCell ref="O2:P2"/>
    <mergeCell ref="Q2:R2"/>
    <mergeCell ref="S2:T2"/>
    <mergeCell ref="A44:R44"/>
    <mergeCell ref="B37:D37"/>
    <mergeCell ref="E2:F2"/>
    <mergeCell ref="G2:H2"/>
    <mergeCell ref="B27:D27"/>
    <mergeCell ref="B3:D3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9" workbookViewId="0">
      <selection activeCell="B10" sqref="B10"/>
    </sheetView>
  </sheetViews>
  <sheetFormatPr defaultRowHeight="15" x14ac:dyDescent="0.25"/>
  <cols>
    <col min="2" max="2" width="49.85546875" customWidth="1"/>
    <col min="3" max="3" width="30.7109375" customWidth="1"/>
    <col min="4" max="4" width="32.28515625" customWidth="1"/>
    <col min="5" max="5" width="10.42578125" customWidth="1"/>
    <col min="6" max="6" width="14.5703125" customWidth="1"/>
  </cols>
  <sheetData>
    <row r="1" spans="1:6" ht="16.5" customHeight="1" thickTop="1" x14ac:dyDescent="0.25">
      <c r="A1" s="196" t="s">
        <v>252</v>
      </c>
      <c r="B1" s="197" t="s">
        <v>202</v>
      </c>
      <c r="C1" s="197" t="s">
        <v>359</v>
      </c>
      <c r="D1" s="197" t="s">
        <v>360</v>
      </c>
      <c r="E1" s="396" t="s">
        <v>320</v>
      </c>
      <c r="F1" s="396"/>
    </row>
    <row r="2" spans="1:6" ht="34.5" customHeight="1" x14ac:dyDescent="0.25">
      <c r="A2" s="198" t="s">
        <v>183</v>
      </c>
      <c r="B2" s="397" t="s">
        <v>361</v>
      </c>
      <c r="C2" s="398"/>
      <c r="D2" s="399"/>
      <c r="E2" s="146" t="s">
        <v>305</v>
      </c>
      <c r="F2" s="146" t="s">
        <v>7</v>
      </c>
    </row>
    <row r="3" spans="1:6" ht="60" customHeight="1" x14ac:dyDescent="0.25">
      <c r="A3" s="199" t="s">
        <v>184</v>
      </c>
      <c r="B3" s="200" t="s">
        <v>362</v>
      </c>
      <c r="C3" s="201" t="s">
        <v>363</v>
      </c>
      <c r="D3" s="202">
        <v>2</v>
      </c>
      <c r="E3" s="146">
        <v>0</v>
      </c>
      <c r="F3" s="146">
        <v>0</v>
      </c>
    </row>
    <row r="4" spans="1:6" ht="60" customHeight="1" x14ac:dyDescent="0.25">
      <c r="A4" s="204" t="s">
        <v>185</v>
      </c>
      <c r="B4" s="203" t="s">
        <v>364</v>
      </c>
      <c r="C4" s="201" t="s">
        <v>363</v>
      </c>
      <c r="D4" s="200">
        <v>1</v>
      </c>
      <c r="E4" s="146">
        <v>0</v>
      </c>
      <c r="F4" s="146">
        <v>0</v>
      </c>
    </row>
    <row r="5" spans="1:6" ht="57" customHeight="1" x14ac:dyDescent="0.25">
      <c r="A5" s="204" t="s">
        <v>186</v>
      </c>
      <c r="B5" s="207" t="s">
        <v>365</v>
      </c>
      <c r="C5" s="208" t="s">
        <v>363</v>
      </c>
      <c r="D5" s="210">
        <v>1</v>
      </c>
      <c r="E5" s="146">
        <v>0</v>
      </c>
      <c r="F5" s="146">
        <v>0</v>
      </c>
    </row>
    <row r="6" spans="1:6" ht="46.5" customHeight="1" x14ac:dyDescent="0.25">
      <c r="A6" s="205" t="s">
        <v>206</v>
      </c>
      <c r="B6" s="206" t="s">
        <v>366</v>
      </c>
      <c r="C6" s="209" t="s">
        <v>363</v>
      </c>
      <c r="D6" s="210">
        <v>1</v>
      </c>
      <c r="E6" s="146">
        <v>0</v>
      </c>
      <c r="F6" s="146">
        <v>0</v>
      </c>
    </row>
    <row r="7" spans="1:6" ht="263.25" customHeight="1" x14ac:dyDescent="0.25">
      <c r="A7" s="199" t="s">
        <v>207</v>
      </c>
      <c r="B7" s="210" t="s">
        <v>367</v>
      </c>
      <c r="C7" s="201" t="s">
        <v>363</v>
      </c>
      <c r="D7" s="212">
        <v>1</v>
      </c>
      <c r="E7" s="146">
        <v>0</v>
      </c>
      <c r="F7" s="146">
        <v>0</v>
      </c>
    </row>
    <row r="8" spans="1:6" ht="357.75" thickBot="1" x14ac:dyDescent="0.3">
      <c r="A8" s="214" t="s">
        <v>208</v>
      </c>
      <c r="B8" s="215" t="s">
        <v>368</v>
      </c>
      <c r="C8" s="213" t="s">
        <v>363</v>
      </c>
      <c r="D8" s="211">
        <v>1</v>
      </c>
      <c r="E8" s="146">
        <v>0</v>
      </c>
      <c r="F8" s="146">
        <v>0</v>
      </c>
    </row>
    <row r="9" spans="1:6" ht="50.25" customHeight="1" thickTop="1" thickBot="1" x14ac:dyDescent="0.3">
      <c r="A9" s="192" t="s">
        <v>188</v>
      </c>
      <c r="B9" s="193" t="s">
        <v>369</v>
      </c>
      <c r="C9" s="194" t="s">
        <v>363</v>
      </c>
      <c r="D9" s="195"/>
      <c r="E9" s="146">
        <v>0</v>
      </c>
      <c r="F9" s="146">
        <v>0</v>
      </c>
    </row>
    <row r="10" spans="1:6" ht="152.25" customHeight="1" thickTop="1" x14ac:dyDescent="0.25">
      <c r="A10" s="217" t="s">
        <v>43</v>
      </c>
      <c r="B10" s="219" t="s">
        <v>370</v>
      </c>
      <c r="C10" s="220" t="s">
        <v>363</v>
      </c>
      <c r="D10" s="216">
        <v>5</v>
      </c>
      <c r="E10" s="146">
        <v>0</v>
      </c>
      <c r="F10" s="146">
        <v>0</v>
      </c>
    </row>
    <row r="11" spans="1:6" ht="68.25" customHeight="1" x14ac:dyDescent="0.25">
      <c r="A11" s="205" t="s">
        <v>291</v>
      </c>
      <c r="B11" s="212" t="s">
        <v>371</v>
      </c>
      <c r="C11" s="221" t="s">
        <v>363</v>
      </c>
      <c r="D11" s="212">
        <v>2</v>
      </c>
      <c r="E11" s="146">
        <v>0</v>
      </c>
      <c r="F11" s="146">
        <v>0</v>
      </c>
    </row>
    <row r="12" spans="1:6" ht="67.5" customHeight="1" x14ac:dyDescent="0.25">
      <c r="A12" s="218" t="s">
        <v>293</v>
      </c>
      <c r="B12" s="212" t="s">
        <v>372</v>
      </c>
      <c r="C12" s="222" t="s">
        <v>363</v>
      </c>
      <c r="D12" s="212">
        <v>30</v>
      </c>
      <c r="E12" s="146">
        <v>0</v>
      </c>
      <c r="F12" s="146">
        <v>0</v>
      </c>
    </row>
    <row r="13" spans="1:6" ht="89.25" customHeight="1" x14ac:dyDescent="0.25">
      <c r="A13" s="223" t="s">
        <v>295</v>
      </c>
      <c r="B13" s="212" t="s">
        <v>373</v>
      </c>
      <c r="C13" s="201" t="s">
        <v>363</v>
      </c>
      <c r="D13" s="210">
        <v>1</v>
      </c>
      <c r="E13" s="146">
        <v>0</v>
      </c>
      <c r="F13" s="146">
        <v>0</v>
      </c>
    </row>
  </sheetData>
  <mergeCells count="2">
    <mergeCell ref="E1:F1"/>
    <mergeCell ref="B2:D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Q8"/>
  <sheetViews>
    <sheetView workbookViewId="0">
      <selection activeCell="O5" sqref="O5"/>
    </sheetView>
  </sheetViews>
  <sheetFormatPr defaultRowHeight="15" x14ac:dyDescent="0.25"/>
  <cols>
    <col min="5" max="5" width="36.28515625" customWidth="1"/>
    <col min="6" max="6" width="8.5703125" customWidth="1"/>
    <col min="8" max="8" width="12.5703125" customWidth="1"/>
    <col min="9" max="9" width="13.42578125" customWidth="1"/>
    <col min="10" max="10" width="13" customWidth="1"/>
    <col min="11" max="11" width="13.7109375" customWidth="1"/>
    <col min="12" max="12" width="18.140625" customWidth="1"/>
    <col min="13" max="13" width="12.140625" customWidth="1"/>
    <col min="14" max="14" width="12.85546875" customWidth="1"/>
    <col min="15" max="15" width="13.42578125" customWidth="1"/>
    <col min="16" max="16" width="10.28515625" bestFit="1" customWidth="1"/>
  </cols>
  <sheetData>
    <row r="3" spans="4:17" ht="18.75" x14ac:dyDescent="0.3">
      <c r="D3" s="404" t="s">
        <v>324</v>
      </c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6"/>
    </row>
    <row r="4" spans="4:17" ht="15.75" x14ac:dyDescent="0.25">
      <c r="D4" s="407"/>
      <c r="E4" s="408"/>
      <c r="F4" s="408"/>
      <c r="G4" s="409"/>
      <c r="H4" s="410" t="s">
        <v>239</v>
      </c>
      <c r="I4" s="411"/>
      <c r="J4" s="411"/>
      <c r="K4" s="411"/>
      <c r="L4" s="411"/>
      <c r="M4" s="412" t="s">
        <v>325</v>
      </c>
      <c r="N4" s="413"/>
      <c r="O4" s="414"/>
      <c r="P4" s="415" t="s">
        <v>323</v>
      </c>
      <c r="Q4" s="415"/>
    </row>
    <row r="5" spans="4:17" ht="63.75" x14ac:dyDescent="0.25">
      <c r="D5" s="400" t="s">
        <v>5</v>
      </c>
      <c r="E5" s="400" t="s">
        <v>97</v>
      </c>
      <c r="F5" s="400" t="s">
        <v>8</v>
      </c>
      <c r="G5" s="400" t="s">
        <v>98</v>
      </c>
      <c r="H5" s="166" t="s">
        <v>326</v>
      </c>
      <c r="I5" s="166" t="s">
        <v>376</v>
      </c>
      <c r="J5" s="230" t="s">
        <v>377</v>
      </c>
      <c r="K5" s="166" t="s">
        <v>378</v>
      </c>
      <c r="L5" s="166" t="s">
        <v>379</v>
      </c>
      <c r="M5" s="167" t="s">
        <v>327</v>
      </c>
      <c r="N5" s="167" t="s">
        <v>328</v>
      </c>
      <c r="O5" s="167" t="s">
        <v>329</v>
      </c>
      <c r="P5" s="415"/>
      <c r="Q5" s="415"/>
    </row>
    <row r="6" spans="4:17" ht="25.5" x14ac:dyDescent="0.25">
      <c r="D6" s="400"/>
      <c r="E6" s="400"/>
      <c r="F6" s="400"/>
      <c r="G6" s="400"/>
      <c r="H6" s="168" t="s">
        <v>330</v>
      </c>
      <c r="I6" s="168" t="s">
        <v>330</v>
      </c>
      <c r="J6" s="231" t="s">
        <v>330</v>
      </c>
      <c r="K6" s="168" t="s">
        <v>330</v>
      </c>
      <c r="L6" s="168" t="s">
        <v>330</v>
      </c>
      <c r="M6" s="169" t="s">
        <v>330</v>
      </c>
      <c r="N6" s="169" t="s">
        <v>330</v>
      </c>
      <c r="O6" s="169" t="s">
        <v>330</v>
      </c>
      <c r="P6" s="165" t="s">
        <v>331</v>
      </c>
      <c r="Q6" s="165" t="s">
        <v>332</v>
      </c>
    </row>
    <row r="7" spans="4:17" ht="107.25" customHeight="1" x14ac:dyDescent="0.25">
      <c r="D7" s="170">
        <v>1</v>
      </c>
      <c r="E7" s="171" t="s">
        <v>333</v>
      </c>
      <c r="F7" s="170" t="s">
        <v>8</v>
      </c>
      <c r="G7" s="170">
        <v>1</v>
      </c>
      <c r="H7" s="172">
        <v>1899.98</v>
      </c>
      <c r="I7" s="172">
        <v>1900</v>
      </c>
      <c r="J7" s="173">
        <v>1691.72</v>
      </c>
      <c r="K7" s="173">
        <v>4098.12</v>
      </c>
      <c r="L7" s="172">
        <v>2593.9499999999998</v>
      </c>
      <c r="M7" s="173">
        <v>1589</v>
      </c>
      <c r="N7" s="172">
        <v>2029.06</v>
      </c>
      <c r="O7" s="172">
        <v>2032</v>
      </c>
      <c r="P7" s="174">
        <f>AVERAGE(H7,I7,L7,N7)</f>
        <v>2105.7474999999999</v>
      </c>
      <c r="Q7" s="175">
        <f>P7</f>
        <v>2105.7474999999999</v>
      </c>
    </row>
    <row r="8" spans="4:17" ht="18.75" x14ac:dyDescent="0.25">
      <c r="D8" s="176"/>
      <c r="E8" s="401" t="s">
        <v>334</v>
      </c>
      <c r="F8" s="402"/>
      <c r="G8" s="403"/>
      <c r="H8" s="176"/>
      <c r="I8" s="176"/>
      <c r="J8" s="176"/>
      <c r="K8" s="176"/>
      <c r="L8" s="176"/>
      <c r="M8" s="176"/>
      <c r="N8" s="176"/>
      <c r="O8" s="176"/>
      <c r="P8" s="177"/>
      <c r="Q8" s="178">
        <f>Q7/12/14</f>
        <v>12.53421130952381</v>
      </c>
    </row>
  </sheetData>
  <mergeCells count="10">
    <mergeCell ref="E5:E6"/>
    <mergeCell ref="F5:F6"/>
    <mergeCell ref="G5:G6"/>
    <mergeCell ref="E8:G8"/>
    <mergeCell ref="D3:Q3"/>
    <mergeCell ref="D4:G4"/>
    <mergeCell ref="H4:L4"/>
    <mergeCell ref="M4:O4"/>
    <mergeCell ref="P4:Q5"/>
    <mergeCell ref="D5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19" zoomScale="120" zoomScaleNormal="120" workbookViewId="0">
      <selection activeCell="E40" sqref="E40:H40"/>
    </sheetView>
  </sheetViews>
  <sheetFormatPr defaultRowHeight="12.75" x14ac:dyDescent="0.2"/>
  <cols>
    <col min="1" max="1" width="4.5703125" style="77" customWidth="1"/>
    <col min="2" max="2" width="17.7109375" style="77" customWidth="1"/>
    <col min="3" max="3" width="11.28515625" style="77" customWidth="1"/>
    <col min="4" max="4" width="10.42578125" style="77" customWidth="1"/>
    <col min="5" max="5" width="11.28515625" style="77" customWidth="1"/>
    <col min="6" max="6" width="8.140625" style="77" customWidth="1"/>
    <col min="7" max="7" width="14.140625" style="77" customWidth="1"/>
    <col min="8" max="8" width="14.5703125" style="77" bestFit="1" customWidth="1"/>
    <col min="9" max="9" width="9.140625" style="77"/>
    <col min="10" max="10" width="14.7109375" style="77" bestFit="1" customWidth="1"/>
    <col min="11" max="11" width="15.140625" style="77" bestFit="1" customWidth="1"/>
    <col min="12" max="12" width="12.85546875" style="77" bestFit="1" customWidth="1"/>
    <col min="13" max="16384" width="9.140625" style="77"/>
  </cols>
  <sheetData>
    <row r="1" spans="1:12" ht="15" x14ac:dyDescent="0.25">
      <c r="A1" s="449" t="s">
        <v>0</v>
      </c>
      <c r="B1" s="449"/>
      <c r="C1" s="449"/>
      <c r="D1" s="449"/>
      <c r="E1" s="79"/>
      <c r="F1" s="80"/>
      <c r="G1" s="81"/>
      <c r="H1" s="101"/>
      <c r="I1" s="82"/>
    </row>
    <row r="2" spans="1:12" ht="15" x14ac:dyDescent="0.25">
      <c r="A2" s="450" t="s">
        <v>1</v>
      </c>
      <c r="B2" s="450"/>
      <c r="C2" s="450"/>
      <c r="D2" s="450"/>
      <c r="E2" s="79"/>
      <c r="F2" s="80"/>
      <c r="G2" s="81"/>
      <c r="H2" s="101"/>
      <c r="I2" s="82"/>
    </row>
    <row r="3" spans="1:12" ht="15" x14ac:dyDescent="0.25">
      <c r="A3" s="450" t="s">
        <v>2</v>
      </c>
      <c r="B3" s="450"/>
      <c r="C3" s="450"/>
      <c r="D3" s="450"/>
      <c r="E3" s="450"/>
      <c r="F3" s="450"/>
      <c r="G3" s="81"/>
      <c r="H3" s="101"/>
      <c r="I3" s="82"/>
    </row>
    <row r="4" spans="1:12" ht="15" x14ac:dyDescent="0.25">
      <c r="A4" s="451" t="s">
        <v>3</v>
      </c>
      <c r="B4" s="451"/>
      <c r="C4" s="451"/>
      <c r="D4" s="451"/>
      <c r="E4" s="451"/>
      <c r="F4" s="80"/>
      <c r="G4" s="81"/>
      <c r="H4" s="101"/>
      <c r="I4" s="82"/>
    </row>
    <row r="5" spans="1:12" ht="15" x14ac:dyDescent="0.25">
      <c r="A5" s="451" t="s">
        <v>4</v>
      </c>
      <c r="B5" s="451"/>
      <c r="C5" s="451"/>
      <c r="D5" s="451"/>
      <c r="E5" s="79"/>
      <c r="F5" s="80"/>
      <c r="G5" s="81"/>
      <c r="H5" s="101"/>
      <c r="I5" s="82"/>
    </row>
    <row r="6" spans="1:12" ht="15" x14ac:dyDescent="0.25">
      <c r="A6" s="102"/>
      <c r="B6" s="102"/>
      <c r="C6" s="102"/>
      <c r="D6" s="102"/>
      <c r="E6" s="79"/>
      <c r="F6" s="80"/>
      <c r="G6" s="81"/>
      <c r="H6" s="101"/>
      <c r="I6" s="82"/>
    </row>
    <row r="7" spans="1:12" ht="15" x14ac:dyDescent="0.25">
      <c r="A7" s="102"/>
      <c r="B7" s="102"/>
      <c r="C7" s="102"/>
      <c r="D7" s="102"/>
      <c r="E7" s="79"/>
      <c r="F7" s="80"/>
      <c r="G7" s="81"/>
      <c r="H7" s="101"/>
      <c r="I7" s="82"/>
    </row>
    <row r="8" spans="1:12" ht="15" x14ac:dyDescent="0.25">
      <c r="A8" s="83"/>
      <c r="B8" s="84"/>
      <c r="C8" s="83"/>
      <c r="D8" s="83"/>
      <c r="E8" s="81"/>
      <c r="F8" s="83"/>
      <c r="G8" s="81"/>
      <c r="H8" s="101"/>
      <c r="I8" s="82"/>
    </row>
    <row r="9" spans="1:12" ht="44.45" customHeight="1" x14ac:dyDescent="0.2">
      <c r="A9" s="452" t="s">
        <v>236</v>
      </c>
      <c r="B9" s="452"/>
      <c r="C9" s="452"/>
      <c r="D9" s="452"/>
      <c r="E9" s="452"/>
      <c r="F9" s="452"/>
      <c r="G9" s="452"/>
      <c r="H9" s="452"/>
      <c r="I9" s="82"/>
    </row>
    <row r="10" spans="1:12" ht="16.899999999999999" customHeight="1" x14ac:dyDescent="0.25">
      <c r="A10" s="103"/>
      <c r="B10" s="103"/>
      <c r="C10" s="103"/>
      <c r="D10" s="103"/>
      <c r="E10" s="104"/>
      <c r="F10" s="103"/>
      <c r="G10" s="104"/>
      <c r="H10" s="101"/>
      <c r="I10" s="82"/>
    </row>
    <row r="11" spans="1:12" ht="15" x14ac:dyDescent="0.25">
      <c r="A11" s="103"/>
      <c r="B11" s="103"/>
      <c r="C11" s="103"/>
      <c r="D11" s="103"/>
      <c r="E11" s="104"/>
      <c r="F11" s="103"/>
      <c r="G11" s="104"/>
      <c r="H11" s="101"/>
      <c r="I11" s="82"/>
    </row>
    <row r="12" spans="1:12" ht="19.899999999999999" customHeight="1" x14ac:dyDescent="0.2">
      <c r="A12" s="453" t="s">
        <v>154</v>
      </c>
      <c r="B12" s="453"/>
      <c r="C12" s="453"/>
      <c r="D12" s="453"/>
      <c r="E12" s="453"/>
      <c r="F12" s="453"/>
      <c r="G12" s="453"/>
      <c r="H12" s="453"/>
      <c r="I12" s="82"/>
    </row>
    <row r="13" spans="1:12" ht="55.15" customHeight="1" x14ac:dyDescent="0.2">
      <c r="A13" s="447" t="s">
        <v>155</v>
      </c>
      <c r="B13" s="447"/>
      <c r="C13" s="105" t="s">
        <v>156</v>
      </c>
      <c r="D13" s="105" t="s">
        <v>157</v>
      </c>
      <c r="E13" s="105" t="s">
        <v>158</v>
      </c>
      <c r="F13" s="105" t="s">
        <v>159</v>
      </c>
      <c r="G13" s="105" t="s">
        <v>160</v>
      </c>
      <c r="H13" s="447" t="s">
        <v>161</v>
      </c>
      <c r="I13" s="82"/>
    </row>
    <row r="14" spans="1:12" ht="14.25" x14ac:dyDescent="0.2">
      <c r="A14" s="454" t="s">
        <v>162</v>
      </c>
      <c r="B14" s="455"/>
      <c r="C14" s="105" t="s">
        <v>163</v>
      </c>
      <c r="D14" s="105" t="s">
        <v>164</v>
      </c>
      <c r="E14" s="105" t="s">
        <v>165</v>
      </c>
      <c r="F14" s="105" t="s">
        <v>166</v>
      </c>
      <c r="G14" s="105" t="s">
        <v>167</v>
      </c>
      <c r="H14" s="447"/>
      <c r="I14" s="82"/>
    </row>
    <row r="15" spans="1:12" ht="25.5" x14ac:dyDescent="0.2">
      <c r="A15" s="106" t="s">
        <v>168</v>
      </c>
      <c r="B15" s="107" t="str">
        <f>'Bombeiro Civil Líder de Brigada'!A24</f>
        <v>Bombeiro Civil Líder (Chefe de Brigada)</v>
      </c>
      <c r="C15" s="107">
        <f>'Bombeiro Civil Líder de Brigada'!G158</f>
        <v>14274.88</v>
      </c>
      <c r="D15" s="106">
        <v>2</v>
      </c>
      <c r="E15" s="107">
        <f>C15*D15</f>
        <v>28549.759999999998</v>
      </c>
      <c r="F15" s="106">
        <v>1</v>
      </c>
      <c r="G15" s="108">
        <f>E15*F15</f>
        <v>28549.759999999998</v>
      </c>
      <c r="H15" s="106">
        <v>2</v>
      </c>
      <c r="I15" s="82"/>
      <c r="L15" s="85"/>
    </row>
    <row r="16" spans="1:12" ht="25.5" x14ac:dyDescent="0.2">
      <c r="A16" s="106" t="s">
        <v>169</v>
      </c>
      <c r="B16" s="107" t="str">
        <f>'Bombeiro Civil_Brigadista Diur '!A24</f>
        <v>Bombeiro Civil  (Brigadista) Diurno</v>
      </c>
      <c r="C16" s="107">
        <f>'Bombeiro Civil_Brigadista Diur '!G155</f>
        <v>11842.52</v>
      </c>
      <c r="D16" s="106">
        <v>2</v>
      </c>
      <c r="E16" s="107">
        <f>C16*D16</f>
        <v>23685.040000000001</v>
      </c>
      <c r="F16" s="106">
        <v>4</v>
      </c>
      <c r="G16" s="108">
        <f>E16*F16</f>
        <v>94740.160000000003</v>
      </c>
      <c r="H16" s="106">
        <f t="shared" ref="H16:H17" si="0">D16*F16</f>
        <v>8</v>
      </c>
      <c r="I16" s="82"/>
      <c r="J16" s="225"/>
      <c r="L16" s="85"/>
    </row>
    <row r="17" spans="1:12" ht="25.5" x14ac:dyDescent="0.2">
      <c r="A17" s="106" t="s">
        <v>169</v>
      </c>
      <c r="B17" s="107" t="str">
        <f>'Bombeiro Civil Brigadit Noturno'!A25</f>
        <v>Bombeiro Civil  (Brigadista) Noturno</v>
      </c>
      <c r="C17" s="107">
        <f>'Bombeiro Civil Brigadit Noturno'!G159</f>
        <v>13367.53</v>
      </c>
      <c r="D17" s="106">
        <v>2</v>
      </c>
      <c r="E17" s="107">
        <f>C17*D17</f>
        <v>26735.06</v>
      </c>
      <c r="F17" s="106">
        <v>2</v>
      </c>
      <c r="G17" s="108">
        <f t="shared" ref="G17" si="1">E17*F17</f>
        <v>53470.12</v>
      </c>
      <c r="H17" s="106">
        <f t="shared" si="0"/>
        <v>4</v>
      </c>
      <c r="I17" s="82"/>
      <c r="L17" s="85"/>
    </row>
    <row r="18" spans="1:12" ht="18.600000000000001" customHeight="1" x14ac:dyDescent="0.2">
      <c r="A18" s="447" t="s">
        <v>170</v>
      </c>
      <c r="B18" s="447"/>
      <c r="C18" s="447"/>
      <c r="D18" s="447"/>
      <c r="E18" s="447"/>
      <c r="F18" s="447"/>
      <c r="G18" s="109">
        <f>SUM(G15:G17)</f>
        <v>176760.04</v>
      </c>
      <c r="H18" s="106">
        <f>SUM(H15:H17)</f>
        <v>14</v>
      </c>
      <c r="I18" s="82"/>
      <c r="J18" s="225"/>
      <c r="L18" s="85"/>
    </row>
    <row r="19" spans="1:12" ht="14.25" x14ac:dyDescent="0.2">
      <c r="A19" s="110"/>
      <c r="B19" s="111"/>
      <c r="C19" s="111"/>
      <c r="D19" s="111"/>
      <c r="E19" s="111"/>
      <c r="F19" s="111"/>
      <c r="G19" s="111"/>
      <c r="H19" s="111"/>
      <c r="I19" s="82"/>
    </row>
    <row r="20" spans="1:12" ht="14.25" x14ac:dyDescent="0.2">
      <c r="A20" s="110"/>
      <c r="B20" s="111"/>
      <c r="C20" s="111"/>
      <c r="D20" s="111"/>
      <c r="E20" s="111"/>
      <c r="F20" s="111"/>
      <c r="G20" s="111"/>
      <c r="H20" s="111"/>
      <c r="I20" s="82"/>
    </row>
    <row r="21" spans="1:12" ht="14.25" x14ac:dyDescent="0.2">
      <c r="A21" s="110"/>
      <c r="B21" s="111"/>
      <c r="C21" s="111"/>
      <c r="D21" s="111"/>
      <c r="E21" s="224"/>
      <c r="F21" s="111"/>
      <c r="G21" s="111"/>
      <c r="H21" s="111"/>
      <c r="I21" s="82"/>
    </row>
    <row r="22" spans="1:12" ht="14.25" x14ac:dyDescent="0.2">
      <c r="A22" s="110"/>
      <c r="B22" s="111"/>
      <c r="C22" s="111"/>
      <c r="D22" s="111"/>
      <c r="E22" s="111"/>
      <c r="F22" s="111"/>
      <c r="G22" s="111"/>
      <c r="H22" s="111"/>
      <c r="I22" s="82"/>
    </row>
    <row r="23" spans="1:12" ht="17.45" customHeight="1" x14ac:dyDescent="0.2">
      <c r="A23" s="423" t="s">
        <v>171</v>
      </c>
      <c r="B23" s="423"/>
      <c r="C23" s="423"/>
      <c r="D23" s="423"/>
      <c r="E23" s="423"/>
      <c r="F23" s="423"/>
      <c r="G23" s="423"/>
      <c r="H23" s="423"/>
      <c r="I23" s="82"/>
    </row>
    <row r="24" spans="1:12" ht="16.899999999999999" customHeight="1" x14ac:dyDescent="0.2">
      <c r="A24" s="447" t="s">
        <v>172</v>
      </c>
      <c r="B24" s="447"/>
      <c r="C24" s="447"/>
      <c r="D24" s="447"/>
      <c r="E24" s="447"/>
      <c r="F24" s="447"/>
      <c r="G24" s="447"/>
      <c r="H24" s="447"/>
      <c r="I24" s="82"/>
    </row>
    <row r="25" spans="1:12" ht="20.45" customHeight="1" x14ac:dyDescent="0.2">
      <c r="A25" s="112"/>
      <c r="B25" s="448" t="s">
        <v>97</v>
      </c>
      <c r="C25" s="448"/>
      <c r="D25" s="448"/>
      <c r="E25" s="448"/>
      <c r="F25" s="448"/>
      <c r="G25" s="448" t="s">
        <v>6</v>
      </c>
      <c r="H25" s="448"/>
      <c r="I25" s="82"/>
    </row>
    <row r="26" spans="1:12" ht="18.600000000000001" customHeight="1" x14ac:dyDescent="0.2">
      <c r="A26" s="106" t="s">
        <v>13</v>
      </c>
      <c r="B26" s="435" t="s">
        <v>173</v>
      </c>
      <c r="C26" s="435"/>
      <c r="D26" s="435"/>
      <c r="E26" s="435"/>
      <c r="F26" s="435"/>
      <c r="G26" s="443"/>
      <c r="H26" s="443"/>
      <c r="I26" s="82"/>
    </row>
    <row r="27" spans="1:12" ht="18.600000000000001" customHeight="1" x14ac:dyDescent="0.2">
      <c r="A27" s="106" t="s">
        <v>174</v>
      </c>
      <c r="B27" s="444" t="s">
        <v>233</v>
      </c>
      <c r="C27" s="445"/>
      <c r="D27" s="445"/>
      <c r="E27" s="445"/>
      <c r="F27" s="446"/>
      <c r="G27" s="441">
        <f>G15</f>
        <v>28549.759999999998</v>
      </c>
      <c r="H27" s="441"/>
      <c r="I27" s="82"/>
    </row>
    <row r="28" spans="1:12" ht="20.45" customHeight="1" x14ac:dyDescent="0.2">
      <c r="A28" s="106" t="s">
        <v>175</v>
      </c>
      <c r="B28" s="438" t="s">
        <v>234</v>
      </c>
      <c r="C28" s="439"/>
      <c r="D28" s="439"/>
      <c r="E28" s="439"/>
      <c r="F28" s="440"/>
      <c r="G28" s="441">
        <f>G16</f>
        <v>94740.160000000003</v>
      </c>
      <c r="H28" s="441"/>
      <c r="I28" s="82"/>
    </row>
    <row r="29" spans="1:12" ht="17.45" customHeight="1" x14ac:dyDescent="0.2">
      <c r="A29" s="106" t="s">
        <v>176</v>
      </c>
      <c r="B29" s="438" t="s">
        <v>235</v>
      </c>
      <c r="C29" s="439"/>
      <c r="D29" s="439"/>
      <c r="E29" s="439"/>
      <c r="F29" s="440"/>
      <c r="G29" s="441">
        <f>G17</f>
        <v>53470.12</v>
      </c>
      <c r="H29" s="441"/>
      <c r="I29" s="82"/>
    </row>
    <row r="30" spans="1:12" ht="17.45" customHeight="1" x14ac:dyDescent="0.2">
      <c r="A30" s="106" t="s">
        <v>15</v>
      </c>
      <c r="B30" s="435" t="s">
        <v>177</v>
      </c>
      <c r="C30" s="435"/>
      <c r="D30" s="435"/>
      <c r="E30" s="435"/>
      <c r="F30" s="435"/>
      <c r="G30" s="442">
        <f t="shared" ref="G30" si="2">G18</f>
        <v>176760.04</v>
      </c>
      <c r="H30" s="442"/>
      <c r="I30" s="82"/>
    </row>
    <row r="31" spans="1:12" ht="29.45" customHeight="1" x14ac:dyDescent="0.2">
      <c r="A31" s="106" t="s">
        <v>18</v>
      </c>
      <c r="B31" s="435" t="s">
        <v>178</v>
      </c>
      <c r="C31" s="435"/>
      <c r="D31" s="435"/>
      <c r="E31" s="435"/>
      <c r="F31" s="435"/>
      <c r="G31" s="436">
        <f>12*G30</f>
        <v>2121120.48</v>
      </c>
      <c r="H31" s="437"/>
      <c r="I31" s="82"/>
    </row>
    <row r="32" spans="1:12" ht="15" customHeight="1" x14ac:dyDescent="0.2">
      <c r="A32" s="229" t="s">
        <v>179</v>
      </c>
      <c r="B32" s="229"/>
      <c r="C32" s="229"/>
      <c r="D32" s="229"/>
      <c r="E32" s="229"/>
      <c r="F32" s="229"/>
      <c r="G32" s="416">
        <v>2121120.48</v>
      </c>
      <c r="H32" s="416"/>
      <c r="I32" s="82"/>
    </row>
    <row r="33" spans="1:11" ht="15" x14ac:dyDescent="0.25">
      <c r="A33" s="113"/>
      <c r="B33" s="113"/>
      <c r="C33" s="113"/>
      <c r="D33" s="113"/>
      <c r="E33" s="113"/>
      <c r="F33" s="113"/>
      <c r="G33" s="113"/>
      <c r="H33" s="101"/>
      <c r="I33" s="82"/>
    </row>
    <row r="34" spans="1:11" ht="15" x14ac:dyDescent="0.25">
      <c r="A34" s="113"/>
      <c r="B34" s="113"/>
      <c r="C34" s="113"/>
      <c r="D34" s="113"/>
      <c r="E34" s="113"/>
      <c r="F34" s="113"/>
      <c r="G34" s="113"/>
      <c r="H34" s="101"/>
      <c r="I34" s="82"/>
    </row>
    <row r="35" spans="1:11" ht="15" x14ac:dyDescent="0.2">
      <c r="A35" s="420" t="s">
        <v>229</v>
      </c>
      <c r="B35" s="421"/>
      <c r="C35" s="421"/>
      <c r="D35" s="421"/>
      <c r="E35" s="421"/>
      <c r="F35" s="421"/>
      <c r="G35" s="421"/>
      <c r="H35" s="422"/>
      <c r="I35" s="82"/>
    </row>
    <row r="36" spans="1:11" ht="15" x14ac:dyDescent="0.2">
      <c r="A36" s="420" t="s">
        <v>97</v>
      </c>
      <c r="B36" s="421"/>
      <c r="C36" s="421"/>
      <c r="D36" s="422"/>
      <c r="E36" s="426" t="s">
        <v>230</v>
      </c>
      <c r="F36" s="427"/>
      <c r="G36" s="420" t="s">
        <v>231</v>
      </c>
      <c r="H36" s="422"/>
      <c r="I36" s="82"/>
    </row>
    <row r="37" spans="1:11" ht="15" x14ac:dyDescent="0.2">
      <c r="A37" s="420" t="s">
        <v>232</v>
      </c>
      <c r="B37" s="421"/>
      <c r="C37" s="421"/>
      <c r="D37" s="422"/>
      <c r="E37" s="428">
        <f>G30</f>
        <v>176760.04</v>
      </c>
      <c r="F37" s="429"/>
      <c r="G37" s="424">
        <f>G31</f>
        <v>2121120.48</v>
      </c>
      <c r="H37" s="425"/>
      <c r="I37" s="82"/>
    </row>
    <row r="38" spans="1:11" ht="15" customHeight="1" x14ac:dyDescent="0.25">
      <c r="A38" s="423" t="s">
        <v>335</v>
      </c>
      <c r="B38" s="423"/>
      <c r="C38" s="423"/>
      <c r="D38" s="423"/>
      <c r="E38" s="394">
        <f>'Materiais  por Demanda '!T47</f>
        <v>8111.7544444444457</v>
      </c>
      <c r="F38" s="394"/>
      <c r="G38" s="394">
        <f>E38*12</f>
        <v>97341.053333333344</v>
      </c>
      <c r="H38" s="394"/>
      <c r="J38" s="225"/>
    </row>
    <row r="39" spans="1:11" x14ac:dyDescent="0.2">
      <c r="A39" s="417" t="s">
        <v>375</v>
      </c>
      <c r="B39" s="418"/>
      <c r="C39" s="418"/>
      <c r="D39" s="419"/>
      <c r="E39" s="430">
        <f>E37+E38</f>
        <v>184871.79444444444</v>
      </c>
      <c r="F39" s="430"/>
      <c r="G39" s="431">
        <f>SUM(G37:H38)</f>
        <v>2218461.5333333332</v>
      </c>
      <c r="H39" s="431"/>
    </row>
    <row r="40" spans="1:11" ht="15" customHeight="1" x14ac:dyDescent="0.2">
      <c r="A40" s="417" t="s">
        <v>374</v>
      </c>
      <c r="B40" s="418"/>
      <c r="C40" s="418"/>
      <c r="D40" s="419"/>
      <c r="E40" s="432">
        <f>(E37+E38)*36</f>
        <v>6655384.5999999996</v>
      </c>
      <c r="F40" s="433"/>
      <c r="G40" s="433"/>
      <c r="H40" s="434"/>
    </row>
    <row r="44" spans="1:11" x14ac:dyDescent="0.2">
      <c r="K44" s="85"/>
    </row>
  </sheetData>
  <mergeCells count="43">
    <mergeCell ref="A24:H24"/>
    <mergeCell ref="B25:F25"/>
    <mergeCell ref="A23:H23"/>
    <mergeCell ref="A1:D1"/>
    <mergeCell ref="A2:D2"/>
    <mergeCell ref="A3:F3"/>
    <mergeCell ref="A4:E4"/>
    <mergeCell ref="A5:D5"/>
    <mergeCell ref="A9:H9"/>
    <mergeCell ref="A12:H12"/>
    <mergeCell ref="A13:B13"/>
    <mergeCell ref="H13:H14"/>
    <mergeCell ref="A14:B14"/>
    <mergeCell ref="A18:F18"/>
    <mergeCell ref="G25:H25"/>
    <mergeCell ref="B26:F26"/>
    <mergeCell ref="G26:H26"/>
    <mergeCell ref="B27:F27"/>
    <mergeCell ref="G27:H27"/>
    <mergeCell ref="B28:F28"/>
    <mergeCell ref="G28:H28"/>
    <mergeCell ref="B31:F31"/>
    <mergeCell ref="G31:H31"/>
    <mergeCell ref="B29:F29"/>
    <mergeCell ref="G29:H29"/>
    <mergeCell ref="B30:F30"/>
    <mergeCell ref="G30:H30"/>
    <mergeCell ref="G32:H32"/>
    <mergeCell ref="A40:D40"/>
    <mergeCell ref="A35:H35"/>
    <mergeCell ref="A38:D38"/>
    <mergeCell ref="G36:H36"/>
    <mergeCell ref="G37:H37"/>
    <mergeCell ref="G38:H38"/>
    <mergeCell ref="A36:D36"/>
    <mergeCell ref="E36:F36"/>
    <mergeCell ref="A37:D37"/>
    <mergeCell ref="E37:F37"/>
    <mergeCell ref="E38:F38"/>
    <mergeCell ref="A39:D39"/>
    <mergeCell ref="E39:F39"/>
    <mergeCell ref="G39:H39"/>
    <mergeCell ref="E40:H40"/>
  </mergeCells>
  <pageMargins left="0.78740157480314965" right="0.78740157480314965" top="0.78740157480314965" bottom="0.78740157480314965" header="0.31496062992125984" footer="0.31496062992125984"/>
  <pageSetup paperSize="9" scale="90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130" zoomScaleNormal="130" workbookViewId="0">
      <selection activeCell="A11" sqref="A11:J11"/>
    </sheetView>
  </sheetViews>
  <sheetFormatPr defaultRowHeight="15" x14ac:dyDescent="0.25"/>
  <cols>
    <col min="1" max="1" width="6" customWidth="1"/>
    <col min="2" max="2" width="22.85546875" customWidth="1"/>
    <col min="3" max="3" width="6.140625" customWidth="1"/>
    <col min="4" max="4" width="10" customWidth="1"/>
    <col min="5" max="5" width="11.140625" customWidth="1"/>
    <col min="6" max="6" width="10.5703125" customWidth="1"/>
    <col min="7" max="7" width="11.5703125" customWidth="1"/>
    <col min="8" max="8" width="11" customWidth="1"/>
    <col min="9" max="9" width="11.42578125" customWidth="1"/>
    <col min="10" max="10" width="10.28515625" customWidth="1"/>
  </cols>
  <sheetData>
    <row r="1" spans="1:10" x14ac:dyDescent="0.25">
      <c r="A1" s="460" t="s">
        <v>243</v>
      </c>
      <c r="B1" s="460"/>
      <c r="C1" s="460"/>
      <c r="D1" s="460"/>
      <c r="E1" s="460"/>
      <c r="F1" s="460"/>
      <c r="G1" s="460"/>
      <c r="H1" s="460"/>
      <c r="I1" s="460"/>
      <c r="J1" s="460"/>
    </row>
    <row r="2" spans="1:10" ht="15" customHeight="1" x14ac:dyDescent="0.25">
      <c r="A2" s="461"/>
      <c r="B2" s="461"/>
      <c r="C2" s="461"/>
      <c r="D2" s="461"/>
      <c r="E2" s="461"/>
      <c r="F2" s="461"/>
      <c r="G2" s="461"/>
      <c r="H2" s="461"/>
      <c r="I2" s="461"/>
      <c r="J2" s="462"/>
    </row>
    <row r="3" spans="1:10" ht="18" customHeight="1" x14ac:dyDescent="0.25">
      <c r="A3" s="470" t="s">
        <v>5</v>
      </c>
      <c r="B3" s="470" t="s">
        <v>240</v>
      </c>
      <c r="C3" s="470" t="s">
        <v>238</v>
      </c>
      <c r="D3" s="470" t="s">
        <v>246</v>
      </c>
      <c r="E3" s="463" t="s">
        <v>239</v>
      </c>
      <c r="F3" s="464"/>
      <c r="G3" s="464"/>
      <c r="H3" s="464"/>
      <c r="I3" s="464"/>
      <c r="J3" s="465"/>
    </row>
    <row r="4" spans="1:10" ht="47.25" customHeight="1" x14ac:dyDescent="0.25">
      <c r="A4" s="471"/>
      <c r="B4" s="471"/>
      <c r="C4" s="471"/>
      <c r="D4" s="471"/>
      <c r="E4" s="466" t="s">
        <v>314</v>
      </c>
      <c r="F4" s="467"/>
      <c r="G4" s="468" t="s">
        <v>313</v>
      </c>
      <c r="H4" s="469"/>
      <c r="I4" s="458"/>
      <c r="J4" s="459"/>
    </row>
    <row r="5" spans="1:10" ht="61.5" customHeight="1" x14ac:dyDescent="0.25">
      <c r="A5" s="472"/>
      <c r="B5" s="472"/>
      <c r="C5" s="472"/>
      <c r="D5" s="472"/>
      <c r="E5" s="114" t="s">
        <v>247</v>
      </c>
      <c r="F5" s="115" t="s">
        <v>244</v>
      </c>
      <c r="G5" s="116" t="s">
        <v>247</v>
      </c>
      <c r="H5" s="116" t="s">
        <v>244</v>
      </c>
      <c r="I5" s="122" t="s">
        <v>247</v>
      </c>
      <c r="J5" s="123" t="s">
        <v>244</v>
      </c>
    </row>
    <row r="6" spans="1:10" ht="30" customHeight="1" x14ac:dyDescent="0.25">
      <c r="A6" s="117" t="s">
        <v>168</v>
      </c>
      <c r="B6" s="117" t="str">
        <f>'RESUMO GERAL'!B15</f>
        <v>Bombeiro Civil Líder (Chefe de Brigada)</v>
      </c>
      <c r="C6" s="118" t="s">
        <v>241</v>
      </c>
      <c r="D6" s="128">
        <f>'Bombeiro Civil Líder de Brigada'!G157</f>
        <v>14274.881679711116</v>
      </c>
      <c r="E6" s="120"/>
      <c r="F6" s="121">
        <f>(E6-D6)/D6</f>
        <v>-1</v>
      </c>
      <c r="G6" s="119">
        <v>26435.32</v>
      </c>
      <c r="H6" s="127">
        <f>(G6-D6)/D6</f>
        <v>0.85187664550470565</v>
      </c>
      <c r="I6" s="124"/>
      <c r="J6" s="125"/>
    </row>
    <row r="7" spans="1:10" ht="30.75" customHeight="1" x14ac:dyDescent="0.25">
      <c r="A7" s="117" t="s">
        <v>169</v>
      </c>
      <c r="B7" s="117" t="str">
        <f>'RESUMO GERAL'!B16</f>
        <v>Bombeiro Civil  (Brigadista) Diurno</v>
      </c>
      <c r="C7" s="118" t="s">
        <v>241</v>
      </c>
      <c r="D7" s="128">
        <f>'Bombeiro Civil_Brigadista Diur '!G154</f>
        <v>11842.522769036796</v>
      </c>
      <c r="E7" s="120">
        <v>9541.19</v>
      </c>
      <c r="F7" s="121">
        <f t="shared" ref="F7:F8" si="0">(E7-D7)/D7</f>
        <v>-0.19432791592799889</v>
      </c>
      <c r="G7" s="126">
        <v>21704.85</v>
      </c>
      <c r="H7" s="127">
        <f>(G7-D7)/D7</f>
        <v>0.83278938308221206</v>
      </c>
      <c r="I7" s="124">
        <v>6255.06</v>
      </c>
      <c r="J7" s="125">
        <f>(I7-D7)/D7</f>
        <v>-0.47181355510209821</v>
      </c>
    </row>
    <row r="8" spans="1:10" ht="32.25" customHeight="1" x14ac:dyDescent="0.25">
      <c r="A8" s="117" t="s">
        <v>242</v>
      </c>
      <c r="B8" s="117" t="str">
        <f>'RESUMO GERAL'!B17</f>
        <v>Bombeiro Civil  (Brigadista) Noturno</v>
      </c>
      <c r="C8" s="118" t="s">
        <v>241</v>
      </c>
      <c r="D8" s="128">
        <f>'Bombeiro Civil Brigadit Noturno'!G158</f>
        <v>13367.53494275752</v>
      </c>
      <c r="E8" s="120">
        <v>10519.22</v>
      </c>
      <c r="F8" s="121">
        <f t="shared" si="0"/>
        <v>-0.21307705234769012</v>
      </c>
      <c r="G8" s="119">
        <v>24351.81</v>
      </c>
      <c r="H8" s="127">
        <f>(G8-D8)/D8</f>
        <v>0.82171283668076134</v>
      </c>
      <c r="I8" s="124">
        <v>7440.04</v>
      </c>
      <c r="J8" s="125">
        <f>(I8-D8)/D8</f>
        <v>-0.4434246828708695</v>
      </c>
    </row>
    <row r="9" spans="1:10" x14ac:dyDescent="0.25">
      <c r="A9" s="457"/>
      <c r="B9" s="457"/>
      <c r="C9" s="457"/>
      <c r="D9" s="457"/>
      <c r="E9" s="457"/>
      <c r="F9" s="457"/>
      <c r="G9" s="457"/>
      <c r="H9" s="457"/>
      <c r="I9" s="457"/>
      <c r="J9" s="457"/>
    </row>
    <row r="10" spans="1:10" x14ac:dyDescent="0.25">
      <c r="A10" s="473" t="s">
        <v>245</v>
      </c>
      <c r="B10" s="473"/>
      <c r="C10" s="473"/>
      <c r="D10" s="473"/>
      <c r="E10" s="473"/>
      <c r="F10" s="473"/>
      <c r="G10" s="473"/>
      <c r="H10" s="473"/>
      <c r="I10" s="473"/>
      <c r="J10" s="473"/>
    </row>
    <row r="11" spans="1:10" ht="81.75" customHeight="1" x14ac:dyDescent="0.25">
      <c r="A11" s="456" t="s">
        <v>248</v>
      </c>
      <c r="B11" s="456"/>
      <c r="C11" s="456"/>
      <c r="D11" s="456"/>
      <c r="E11" s="456"/>
      <c r="F11" s="456"/>
      <c r="G11" s="456"/>
      <c r="H11" s="456"/>
      <c r="I11" s="456"/>
      <c r="J11" s="456"/>
    </row>
  </sheetData>
  <mergeCells count="13">
    <mergeCell ref="A11:J11"/>
    <mergeCell ref="A9:J9"/>
    <mergeCell ref="I4:J4"/>
    <mergeCell ref="A1:J1"/>
    <mergeCell ref="A2:J2"/>
    <mergeCell ref="E3:J3"/>
    <mergeCell ref="E4:F4"/>
    <mergeCell ref="G4:H4"/>
    <mergeCell ref="B3:B5"/>
    <mergeCell ref="C3:C5"/>
    <mergeCell ref="D3:D5"/>
    <mergeCell ref="A3:A5"/>
    <mergeCell ref="A10:J10"/>
  </mergeCells>
  <pageMargins left="0.51181102362204722" right="0.51181102362204722" top="0.78740157480314965" bottom="0.78740157480314965" header="0.31496062992125984" footer="0.31496062992125984"/>
  <pageSetup paperSize="9" scale="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Bombeiro Civil Líder de Brigada</vt:lpstr>
      <vt:lpstr>Bombeiro Civil_Brigadista Diur </vt:lpstr>
      <vt:lpstr>Bombeiro Civil Brigadit Noturno</vt:lpstr>
      <vt:lpstr>Uniformes</vt:lpstr>
      <vt:lpstr>Materiais  por Demanda </vt:lpstr>
      <vt:lpstr>Materiais por Comodato </vt:lpstr>
      <vt:lpstr>Relógio de Ponto</vt:lpstr>
      <vt:lpstr>RESUMO GERAL</vt:lpstr>
      <vt:lpstr>Pesquisa Órgãos Públicos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Luciene Pereira Gama</cp:lastModifiedBy>
  <cp:lastPrinted>2024-07-16T19:14:05Z</cp:lastPrinted>
  <dcterms:created xsi:type="dcterms:W3CDTF">2020-06-17T10:05:11Z</dcterms:created>
  <dcterms:modified xsi:type="dcterms:W3CDTF">2025-01-14T19:36:17Z</dcterms:modified>
</cp:coreProperties>
</file>